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285" windowWidth="10515" windowHeight="4245" activeTab="3"/>
  </bookViews>
  <sheets>
    <sheet name="Input" sheetId="1" r:id="rId1"/>
    <sheet name="Screening" sheetId="3" r:id="rId2"/>
    <sheet name="Database" sheetId="2" r:id="rId3"/>
    <sheet name="MCA" sheetId="5" r:id="rId4"/>
    <sheet name="MCA_1" sheetId="6" r:id="rId5"/>
    <sheet name="MCA_4" sheetId="8" r:id="rId6"/>
    <sheet name="MCA_5" sheetId="7" r:id="rId7"/>
    <sheet name="Sum report" sheetId="9" r:id="rId8"/>
  </sheets>
  <definedNames>
    <definedName name="countries">Database!$B$2:$B$29</definedName>
    <definedName name="factors">Database!$B$44:$B$53</definedName>
    <definedName name="sludge">Database!$B$41:$B$42</definedName>
    <definedName name="tech">Database!$31:$31</definedName>
    <definedName name="technology">Database!$B$36:$B$39</definedName>
    <definedName name="water">Database!$B$55:$B$57</definedName>
  </definedNames>
  <calcPr calcId="144525"/>
</workbook>
</file>

<file path=xl/calcChain.xml><?xml version="1.0" encoding="utf-8"?>
<calcChain xmlns="http://schemas.openxmlformats.org/spreadsheetml/2006/main">
  <c r="B5" i="5" l="1"/>
  <c r="E5" i="5"/>
  <c r="B4" i="8" l="1"/>
  <c r="F7" i="5" l="1"/>
  <c r="G2" i="5" s="1"/>
  <c r="G3" i="5" l="1"/>
  <c r="G4" i="5"/>
  <c r="G6" i="5"/>
  <c r="G5" i="5"/>
  <c r="B17" i="6"/>
  <c r="B16" i="6"/>
  <c r="B15" i="6"/>
  <c r="B14" i="6"/>
  <c r="B13" i="6"/>
  <c r="B12" i="6"/>
  <c r="B10" i="6" l="1"/>
  <c r="B9" i="6"/>
  <c r="B8" i="6"/>
  <c r="B14" i="3" l="1"/>
  <c r="B13" i="3"/>
  <c r="B3" i="6" l="1"/>
  <c r="B2" i="6" l="1"/>
  <c r="B4" i="6" s="1"/>
  <c r="E15" i="6" l="1"/>
  <c r="E13" i="6"/>
  <c r="C15" i="6"/>
  <c r="D15" i="6" s="1"/>
  <c r="E14" i="6"/>
  <c r="E12" i="6"/>
  <c r="C14" i="6"/>
  <c r="D14" i="6" s="1"/>
  <c r="C12" i="6"/>
  <c r="D12" i="6" s="1"/>
  <c r="C13" i="6"/>
  <c r="D13" i="6" s="1"/>
  <c r="B6" i="6"/>
  <c r="H17" i="6"/>
  <c r="H16" i="6"/>
  <c r="H15" i="6"/>
  <c r="H14" i="6"/>
  <c r="H13" i="6"/>
  <c r="H12" i="6"/>
  <c r="E17" i="6" l="1"/>
  <c r="C17" i="6"/>
  <c r="D17" i="6" s="1"/>
  <c r="E16" i="6"/>
  <c r="C16" i="6"/>
  <c r="D16" i="6" s="1"/>
  <c r="H18" i="6"/>
  <c r="I14" i="6" l="1"/>
  <c r="F12" i="6"/>
  <c r="I13" i="6"/>
  <c r="I12" i="6"/>
  <c r="I15" i="6"/>
  <c r="C2" i="5"/>
  <c r="F33" i="2"/>
  <c r="F32" i="2"/>
  <c r="F31" i="2"/>
  <c r="J13" i="6" l="1"/>
  <c r="J12" i="6"/>
  <c r="J15" i="6"/>
  <c r="J14" i="6"/>
  <c r="F13" i="6" l="1"/>
  <c r="F15" i="6"/>
  <c r="F14" i="6"/>
  <c r="I16" i="6" l="1"/>
  <c r="I17" i="6"/>
  <c r="J17" i="6" s="1"/>
  <c r="F17" i="6"/>
  <c r="F16" i="6"/>
  <c r="F18" i="6" l="1"/>
  <c r="I18" i="6"/>
  <c r="J16" i="6"/>
  <c r="J18" i="6" s="1"/>
  <c r="C18" i="6"/>
  <c r="E18" i="6"/>
  <c r="AN76" i="7" l="1"/>
  <c r="AN75" i="7"/>
  <c r="AN74" i="7"/>
  <c r="AN73" i="7"/>
  <c r="AN72" i="7"/>
  <c r="AN71" i="7"/>
  <c r="AN70" i="7"/>
  <c r="AN69" i="7"/>
  <c r="AN68" i="7"/>
  <c r="AN67" i="7"/>
  <c r="AN66" i="7"/>
  <c r="AN64" i="7"/>
  <c r="AN63" i="7"/>
  <c r="AN62" i="7"/>
  <c r="AN61" i="7"/>
  <c r="AN60" i="7"/>
  <c r="AN59" i="7"/>
  <c r="AN58" i="7"/>
  <c r="AN57" i="7"/>
  <c r="AN56" i="7"/>
  <c r="AN55" i="7"/>
  <c r="AN54" i="7"/>
  <c r="AN53" i="7"/>
  <c r="AN52" i="7"/>
  <c r="AN51" i="7"/>
  <c r="AN50" i="7"/>
  <c r="AN48" i="7"/>
  <c r="AN47" i="7"/>
  <c r="AN46" i="7"/>
  <c r="AN25" i="7"/>
  <c r="AN19" i="7"/>
  <c r="AN12" i="7"/>
  <c r="AN9" i="7"/>
  <c r="E33" i="2" l="1"/>
  <c r="E32" i="2"/>
  <c r="E31" i="2"/>
  <c r="D33" i="2"/>
  <c r="D32" i="2"/>
  <c r="D31" i="2"/>
  <c r="C33" i="2"/>
  <c r="C32" i="2"/>
  <c r="C31" i="2"/>
  <c r="B3" i="8" l="1"/>
  <c r="B5" i="8" s="1"/>
  <c r="B6" i="8" l="1"/>
  <c r="B3" i="5" l="1"/>
  <c r="E3" i="5" s="1"/>
  <c r="E81" i="7"/>
  <c r="E80" i="7"/>
  <c r="E79" i="7"/>
  <c r="AD84" i="7"/>
  <c r="B6" i="5" s="1"/>
  <c r="AC84" i="7"/>
  <c r="Z84" i="7"/>
  <c r="Y84" i="7"/>
  <c r="V84" i="7"/>
  <c r="U84" i="7"/>
  <c r="R84" i="7"/>
  <c r="Q84" i="7"/>
  <c r="N84" i="7"/>
  <c r="M84" i="7"/>
  <c r="J84" i="7"/>
  <c r="I84" i="7"/>
  <c r="F84" i="7"/>
  <c r="E84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AF79" i="7"/>
  <c r="AF84" i="7" s="1"/>
  <c r="AE79" i="7"/>
  <c r="AE84" i="7" s="1"/>
  <c r="AD79" i="7"/>
  <c r="AD82" i="7" s="1"/>
  <c r="AC79" i="7"/>
  <c r="AC82" i="7" s="1"/>
  <c r="AB79" i="7"/>
  <c r="AB84" i="7" s="1"/>
  <c r="AA79" i="7"/>
  <c r="AA82" i="7" s="1"/>
  <c r="Z79" i="7"/>
  <c r="Z82" i="7" s="1"/>
  <c r="Y79" i="7"/>
  <c r="Y82" i="7" s="1"/>
  <c r="X79" i="7"/>
  <c r="X84" i="7" s="1"/>
  <c r="W79" i="7"/>
  <c r="W84" i="7" s="1"/>
  <c r="V79" i="7"/>
  <c r="V82" i="7" s="1"/>
  <c r="U79" i="7"/>
  <c r="U82" i="7" s="1"/>
  <c r="T79" i="7"/>
  <c r="T84" i="7" s="1"/>
  <c r="S79" i="7"/>
  <c r="S82" i="7" s="1"/>
  <c r="R79" i="7"/>
  <c r="R82" i="7" s="1"/>
  <c r="Q79" i="7"/>
  <c r="Q82" i="7" s="1"/>
  <c r="P79" i="7"/>
  <c r="P84" i="7" s="1"/>
  <c r="O79" i="7"/>
  <c r="O84" i="7" s="1"/>
  <c r="N79" i="7"/>
  <c r="N82" i="7" s="1"/>
  <c r="M79" i="7"/>
  <c r="M82" i="7" s="1"/>
  <c r="L79" i="7"/>
  <c r="L84" i="7" s="1"/>
  <c r="K79" i="7"/>
  <c r="K82" i="7" s="1"/>
  <c r="J79" i="7"/>
  <c r="J82" i="7" s="1"/>
  <c r="I79" i="7"/>
  <c r="I82" i="7" s="1"/>
  <c r="H79" i="7"/>
  <c r="H84" i="7" s="1"/>
  <c r="G79" i="7"/>
  <c r="G84" i="7" s="1"/>
  <c r="F79" i="7"/>
  <c r="F82" i="7" s="1"/>
  <c r="E82" i="7"/>
  <c r="AJ76" i="7"/>
  <c r="AK76" i="7" s="1"/>
  <c r="AI76" i="7"/>
  <c r="AJ75" i="7"/>
  <c r="AI75" i="7"/>
  <c r="AK75" i="7" s="1"/>
  <c r="AJ74" i="7"/>
  <c r="AI74" i="7"/>
  <c r="AK74" i="7" s="1"/>
  <c r="AK73" i="7"/>
  <c r="AJ73" i="7"/>
  <c r="AI73" i="7"/>
  <c r="AJ72" i="7"/>
  <c r="AK72" i="7" s="1"/>
  <c r="AI72" i="7"/>
  <c r="AJ71" i="7"/>
  <c r="AI71" i="7"/>
  <c r="AK71" i="7" s="1"/>
  <c r="AJ70" i="7"/>
  <c r="AI70" i="7"/>
  <c r="AK70" i="7" s="1"/>
  <c r="AK69" i="7"/>
  <c r="AJ69" i="7"/>
  <c r="AI69" i="7"/>
  <c r="AJ68" i="7"/>
  <c r="AK68" i="7" s="1"/>
  <c r="AI68" i="7"/>
  <c r="AJ67" i="7"/>
  <c r="AI67" i="7"/>
  <c r="AK67" i="7" s="1"/>
  <c r="AJ66" i="7"/>
  <c r="AI66" i="7"/>
  <c r="AK66" i="7" s="1"/>
  <c r="AK65" i="7"/>
  <c r="AJ65" i="7"/>
  <c r="AI65" i="7"/>
  <c r="AJ64" i="7"/>
  <c r="AK64" i="7" s="1"/>
  <c r="AI64" i="7"/>
  <c r="AJ63" i="7"/>
  <c r="AI63" i="7"/>
  <c r="AK63" i="7" s="1"/>
  <c r="AJ62" i="7"/>
  <c r="AI62" i="7"/>
  <c r="AK62" i="7" s="1"/>
  <c r="AK61" i="7"/>
  <c r="AJ61" i="7"/>
  <c r="AI61" i="7"/>
  <c r="AJ60" i="7"/>
  <c r="AK60" i="7" s="1"/>
  <c r="AI60" i="7"/>
  <c r="AJ59" i="7"/>
  <c r="AI59" i="7"/>
  <c r="AK59" i="7" s="1"/>
  <c r="AJ58" i="7"/>
  <c r="AI58" i="7"/>
  <c r="AK58" i="7" s="1"/>
  <c r="AK57" i="7"/>
  <c r="AJ57" i="7"/>
  <c r="AI57" i="7"/>
  <c r="AJ56" i="7"/>
  <c r="AK56" i="7" s="1"/>
  <c r="AI56" i="7"/>
  <c r="AJ55" i="7"/>
  <c r="AI55" i="7"/>
  <c r="AK55" i="7" s="1"/>
  <c r="AJ54" i="7"/>
  <c r="AI54" i="7"/>
  <c r="AK54" i="7" s="1"/>
  <c r="AK53" i="7"/>
  <c r="AJ53" i="7"/>
  <c r="AI53" i="7"/>
  <c r="AJ52" i="7"/>
  <c r="AK52" i="7" s="1"/>
  <c r="AI52" i="7"/>
  <c r="AJ51" i="7"/>
  <c r="AI51" i="7"/>
  <c r="AK51" i="7" s="1"/>
  <c r="AJ50" i="7"/>
  <c r="AI50" i="7"/>
  <c r="AK50" i="7" s="1"/>
  <c r="AK49" i="7"/>
  <c r="AJ49" i="7"/>
  <c r="AI49" i="7"/>
  <c r="AJ48" i="7"/>
  <c r="AK48" i="7" s="1"/>
  <c r="AI48" i="7"/>
  <c r="AJ47" i="7"/>
  <c r="AI47" i="7"/>
  <c r="AK47" i="7" s="1"/>
  <c r="AJ46" i="7"/>
  <c r="AI46" i="7"/>
  <c r="AK46" i="7" s="1"/>
  <c r="AK45" i="7"/>
  <c r="AJ45" i="7"/>
  <c r="AI45" i="7"/>
  <c r="AJ44" i="7"/>
  <c r="AK44" i="7" s="1"/>
  <c r="AI44" i="7"/>
  <c r="AJ43" i="7"/>
  <c r="AI43" i="7"/>
  <c r="AK43" i="7" s="1"/>
  <c r="AJ42" i="7"/>
  <c r="AI42" i="7"/>
  <c r="AK42" i="7" s="1"/>
  <c r="AK41" i="7"/>
  <c r="AJ41" i="7"/>
  <c r="AI41" i="7"/>
  <c r="AJ40" i="7"/>
  <c r="AK40" i="7" s="1"/>
  <c r="AI40" i="7"/>
  <c r="AJ39" i="7"/>
  <c r="AI39" i="7"/>
  <c r="AK39" i="7" s="1"/>
  <c r="AJ38" i="7"/>
  <c r="AI38" i="7"/>
  <c r="AK38" i="7" s="1"/>
  <c r="AK37" i="7"/>
  <c r="AJ37" i="7"/>
  <c r="AI37" i="7"/>
  <c r="AJ36" i="7"/>
  <c r="AK36" i="7" s="1"/>
  <c r="AI36" i="7"/>
  <c r="AJ35" i="7"/>
  <c r="AI35" i="7"/>
  <c r="AK35" i="7" s="1"/>
  <c r="AJ34" i="7"/>
  <c r="AI34" i="7"/>
  <c r="AK34" i="7" s="1"/>
  <c r="AK33" i="7"/>
  <c r="AJ33" i="7"/>
  <c r="AI33" i="7"/>
  <c r="AJ32" i="7"/>
  <c r="AK32" i="7" s="1"/>
  <c r="AI32" i="7"/>
  <c r="AJ31" i="7"/>
  <c r="AI31" i="7"/>
  <c r="AK31" i="7" s="1"/>
  <c r="AJ30" i="7"/>
  <c r="AI30" i="7"/>
  <c r="AK30" i="7" s="1"/>
  <c r="AK29" i="7"/>
  <c r="AJ29" i="7"/>
  <c r="AI29" i="7"/>
  <c r="AJ28" i="7"/>
  <c r="AK28" i="7" s="1"/>
  <c r="AI28" i="7"/>
  <c r="AJ27" i="7"/>
  <c r="AI27" i="7"/>
  <c r="AK27" i="7" s="1"/>
  <c r="AJ26" i="7"/>
  <c r="AI26" i="7"/>
  <c r="AK26" i="7" s="1"/>
  <c r="AK25" i="7"/>
  <c r="AJ25" i="7"/>
  <c r="AI25" i="7"/>
  <c r="AJ24" i="7"/>
  <c r="AK24" i="7" s="1"/>
  <c r="AI24" i="7"/>
  <c r="AJ23" i="7"/>
  <c r="AI23" i="7"/>
  <c r="AK23" i="7" s="1"/>
  <c r="AJ22" i="7"/>
  <c r="AI22" i="7"/>
  <c r="AK22" i="7" s="1"/>
  <c r="AK21" i="7"/>
  <c r="AJ21" i="7"/>
  <c r="AI21" i="7"/>
  <c r="AJ20" i="7"/>
  <c r="AK20" i="7" s="1"/>
  <c r="AI20" i="7"/>
  <c r="AJ19" i="7"/>
  <c r="AI19" i="7"/>
  <c r="AK19" i="7" s="1"/>
  <c r="AJ18" i="7"/>
  <c r="AI18" i="7"/>
  <c r="AK18" i="7" s="1"/>
  <c r="AK17" i="7"/>
  <c r="AJ17" i="7"/>
  <c r="AI17" i="7"/>
  <c r="AJ16" i="7"/>
  <c r="AK16" i="7" s="1"/>
  <c r="AI16" i="7"/>
  <c r="AJ15" i="7"/>
  <c r="AI15" i="7"/>
  <c r="AK15" i="7" s="1"/>
  <c r="AJ14" i="7"/>
  <c r="AI14" i="7"/>
  <c r="AK14" i="7" s="1"/>
  <c r="AK13" i="7"/>
  <c r="AJ13" i="7"/>
  <c r="AI13" i="7"/>
  <c r="AJ12" i="7"/>
  <c r="AK12" i="7" s="1"/>
  <c r="AI12" i="7"/>
  <c r="AJ11" i="7"/>
  <c r="AI11" i="7"/>
  <c r="AK11" i="7" s="1"/>
  <c r="AJ10" i="7"/>
  <c r="AI10" i="7"/>
  <c r="AK10" i="7" s="1"/>
  <c r="AK9" i="7"/>
  <c r="AJ9" i="7"/>
  <c r="AI9" i="7"/>
  <c r="AJ8" i="7"/>
  <c r="AK8" i="7" s="1"/>
  <c r="AI8" i="7"/>
  <c r="AJ7" i="7"/>
  <c r="AI7" i="7"/>
  <c r="AK7" i="7" s="1"/>
  <c r="AJ6" i="7"/>
  <c r="AI6" i="7"/>
  <c r="AK6" i="7" s="1"/>
  <c r="AK5" i="7"/>
  <c r="AJ5" i="7"/>
  <c r="AI5" i="7"/>
  <c r="AJ4" i="7"/>
  <c r="AK4" i="7" s="1"/>
  <c r="AI4" i="7"/>
  <c r="AJ3" i="7"/>
  <c r="AI3" i="7"/>
  <c r="AK3" i="7" s="1"/>
  <c r="H5" i="5" l="1"/>
  <c r="G82" i="7"/>
  <c r="O82" i="7"/>
  <c r="W82" i="7"/>
  <c r="AE82" i="7"/>
  <c r="L82" i="7"/>
  <c r="T82" i="7"/>
  <c r="AB82" i="7"/>
  <c r="AF82" i="7"/>
  <c r="K84" i="7"/>
  <c r="S84" i="7"/>
  <c r="AA84" i="7"/>
  <c r="H82" i="7"/>
  <c r="P82" i="7"/>
  <c r="X82" i="7"/>
  <c r="B4" i="5"/>
  <c r="D84" i="7" l="1"/>
  <c r="D6" i="5" s="1"/>
  <c r="C84" i="7"/>
  <c r="C6" i="5" s="1"/>
  <c r="E6" i="5" s="1"/>
  <c r="H6" i="5" s="1"/>
  <c r="C4" i="5"/>
  <c r="D4" i="5"/>
  <c r="D3" i="5"/>
  <c r="C3" i="5"/>
  <c r="E4" i="5" l="1"/>
  <c r="H4" i="5" s="1"/>
  <c r="H3" i="5"/>
  <c r="C17" i="2"/>
  <c r="C15" i="2"/>
  <c r="C12" i="2"/>
  <c r="C4" i="2"/>
  <c r="D2" i="5" l="1"/>
  <c r="B2" i="5" l="1"/>
  <c r="E2" i="5" s="1"/>
  <c r="H2" i="5" l="1"/>
  <c r="H7" i="5" s="1"/>
</calcChain>
</file>

<file path=xl/comments1.xml><?xml version="1.0" encoding="utf-8"?>
<comments xmlns="http://schemas.openxmlformats.org/spreadsheetml/2006/main">
  <authors>
    <author>Jorge Bellagamba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Europeans perception towards environmental issues // Water pollution as the main one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2011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2006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2012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2010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2012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2009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1998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1998
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2010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2014</t>
        </r>
      </text>
    </comment>
  </commentList>
</comments>
</file>

<file path=xl/comments2.xml><?xml version="1.0" encoding="utf-8"?>
<comments xmlns="http://schemas.openxmlformats.org/spreadsheetml/2006/main">
  <authors>
    <author>Jorge Bellagamba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This is the permeate flow after the RO</t>
        </r>
      </text>
    </comment>
  </commentList>
</comments>
</file>

<file path=xl/comments3.xml><?xml version="1.0" encoding="utf-8"?>
<comments xmlns="http://schemas.openxmlformats.org/spreadsheetml/2006/main">
  <authors>
    <author>Jorge Bellagamba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NA: Not available
DERC: Detected at environmental relevant concentrations
ENEC: Evaluated at not environmental risk concentrations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Jorge Bellagamba:</t>
        </r>
        <r>
          <rPr>
            <sz val="9"/>
            <color indexed="81"/>
            <rFont val="Tahoma"/>
            <family val="2"/>
          </rPr>
          <t xml:space="preserve">
NA: Not available
DERC: Detected at environmental relevant concentrations
ENEC: Evaluated at not environmental risk concentrations</t>
        </r>
      </text>
    </comment>
  </commentList>
</comments>
</file>

<file path=xl/sharedStrings.xml><?xml version="1.0" encoding="utf-8"?>
<sst xmlns="http://schemas.openxmlformats.org/spreadsheetml/2006/main" count="1352" uniqueCount="311">
  <si>
    <t>WWTP name/city:</t>
  </si>
  <si>
    <t>WWTP location:</t>
  </si>
  <si>
    <t>Wastewater source activity:</t>
  </si>
  <si>
    <t>WWTP capacity (m3/day):</t>
  </si>
  <si>
    <t>Receiving water body flow (m3/s):</t>
  </si>
  <si>
    <t>Domestic</t>
  </si>
  <si>
    <t>Industrial</t>
  </si>
  <si>
    <t>Agriculture</t>
  </si>
  <si>
    <t>Hospital</t>
  </si>
  <si>
    <t/>
  </si>
  <si>
    <t>Country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</si>
  <si>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</si>
  <si>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</si>
  <si>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</si>
  <si>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</si>
  <si>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</si>
  <si>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</si>
  <si>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</si>
  <si>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</si>
  <si>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</si>
  <si>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</si>
  <si>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</si>
  <si>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</si>
  <si>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</si>
  <si>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</si>
  <si>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</si>
  <si>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</si>
  <si>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</si>
  <si>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</si>
  <si>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</si>
  <si>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</si>
  <si>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</si>
  <si>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</si>
  <si>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</si>
  <si>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</si>
  <si>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</si>
  <si>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Sweden</t>
  </si>
  <si>
    <t>United Kingdom*</t>
  </si>
  <si>
    <t>WWTP technology:</t>
  </si>
  <si>
    <t>1. Known issues of micropollutants in the wastewater treatment plant</t>
  </si>
  <si>
    <t>2. Existance of secondary treatment as a minimum level of treatment*</t>
  </si>
  <si>
    <t>4. Different source of wastewater contrubution other than domestic</t>
  </si>
  <si>
    <t>5. Need for reuse</t>
  </si>
  <si>
    <t>6. Wastewater discharge into a water body</t>
  </si>
  <si>
    <t>7. The effluent discharges upstream a drinking water treatment plant</t>
  </si>
  <si>
    <t>8. Sewage sludge management*</t>
  </si>
  <si>
    <t>Total sum</t>
  </si>
  <si>
    <t>Mandatory sum</t>
  </si>
  <si>
    <t>1. Capital and operative expenditures</t>
  </si>
  <si>
    <t>2. Need for reuse</t>
  </si>
  <si>
    <t>3. Social perception</t>
  </si>
  <si>
    <t>4. Environmental impact</t>
  </si>
  <si>
    <t>5. Occurrence frequency</t>
  </si>
  <si>
    <t>Interest rate (%)</t>
  </si>
  <si>
    <t>Life span (years)</t>
  </si>
  <si>
    <t>Process</t>
  </si>
  <si>
    <t>Membrane Filtration</t>
  </si>
  <si>
    <t>Ultraviolet</t>
  </si>
  <si>
    <t>Reverse Osmosis</t>
  </si>
  <si>
    <t>GAC filtration</t>
  </si>
  <si>
    <t>Ozone</t>
  </si>
  <si>
    <t>Drinking Water price (€/m3)</t>
  </si>
  <si>
    <t>Indicator</t>
  </si>
  <si>
    <t>Baseline</t>
  </si>
  <si>
    <t>Goal</t>
  </si>
  <si>
    <t>Criteria</t>
  </si>
  <si>
    <t>Water Exploitation Index (%)</t>
  </si>
  <si>
    <t>N/D</t>
  </si>
  <si>
    <t>Average</t>
  </si>
  <si>
    <t>Maximum</t>
  </si>
  <si>
    <t>Minimum</t>
  </si>
  <si>
    <t>Result</t>
  </si>
  <si>
    <t>Spain</t>
  </si>
  <si>
    <t>WPMEI (%)</t>
  </si>
  <si>
    <t>#</t>
  </si>
  <si>
    <t>Substance</t>
  </si>
  <si>
    <t>Classification</t>
  </si>
  <si>
    <t>CAS #</t>
  </si>
  <si>
    <t>UK*</t>
  </si>
  <si>
    <t>DERC</t>
  </si>
  <si>
    <t>ENEC</t>
  </si>
  <si>
    <t>DERC &amp; ENEC</t>
  </si>
  <si>
    <t>Priority substance</t>
  </si>
  <si>
    <t>15972-60-8</t>
  </si>
  <si>
    <t>Anthracene</t>
  </si>
  <si>
    <t>120-12-7</t>
  </si>
  <si>
    <t>Atrazine</t>
  </si>
  <si>
    <t>1912-24-9</t>
  </si>
  <si>
    <t>Benzene</t>
  </si>
  <si>
    <t>71-43-2</t>
  </si>
  <si>
    <t>Brominated diphenylethers</t>
  </si>
  <si>
    <t>32534-81-9</t>
  </si>
  <si>
    <t>Cadmium and its compounds</t>
  </si>
  <si>
    <t>7440-43-9</t>
  </si>
  <si>
    <t>6a</t>
  </si>
  <si>
    <t>Carbon-tetrachloride</t>
  </si>
  <si>
    <t>56-23-5</t>
  </si>
  <si>
    <t>NA</t>
  </si>
  <si>
    <t>C10-13, Chloroalkanes</t>
  </si>
  <si>
    <t>85535-84-8</t>
  </si>
  <si>
    <t>Chlorfenvinphos</t>
  </si>
  <si>
    <t>470-90-6</t>
  </si>
  <si>
    <t>Chlorpyrifos (Chlorpyrifos-ethyl)</t>
  </si>
  <si>
    <t>2921-88-2</t>
  </si>
  <si>
    <t>9a</t>
  </si>
  <si>
    <t>Cyclodine pesticides: Aldrin, Dieldrin, Endrin and Isodrin</t>
  </si>
  <si>
    <t>309-00-2 / 60-57-1 / 72-20-8/465-73-6</t>
  </si>
  <si>
    <t>9b</t>
  </si>
  <si>
    <t>DDT total</t>
  </si>
  <si>
    <t>not applicable</t>
  </si>
  <si>
    <t>9c</t>
  </si>
  <si>
    <t>para-para-DDT</t>
  </si>
  <si>
    <t>50-29-3</t>
  </si>
  <si>
    <t>1, 2-Dichloroethane</t>
  </si>
  <si>
    <t>107-06-2</t>
  </si>
  <si>
    <t>Dichloromethane</t>
  </si>
  <si>
    <t>75-09-2</t>
  </si>
  <si>
    <t>Di(2-ethylhexyl)-phthalate (DEHP)</t>
  </si>
  <si>
    <t>117-81-7</t>
  </si>
  <si>
    <t>Diuron</t>
  </si>
  <si>
    <t>330-54-1</t>
  </si>
  <si>
    <t>Endosulfan</t>
  </si>
  <si>
    <t>115-29-7</t>
  </si>
  <si>
    <t>Fluoranthene</t>
  </si>
  <si>
    <t>206-44-0</t>
  </si>
  <si>
    <t>Hexachlorobenzene</t>
  </si>
  <si>
    <t>118-74-1</t>
  </si>
  <si>
    <t>Hexachlorobutadiene</t>
  </si>
  <si>
    <t>87-68-3</t>
  </si>
  <si>
    <t>Hexachlorocyclohexane (Lindane)</t>
  </si>
  <si>
    <t>608-73-1</t>
  </si>
  <si>
    <t>Isoproturon</t>
  </si>
  <si>
    <t>34123-59-6</t>
  </si>
  <si>
    <t>Lead and its compounds</t>
  </si>
  <si>
    <t>7439-92-1</t>
  </si>
  <si>
    <t>Mercury and its compounds</t>
  </si>
  <si>
    <t>7439-97-6</t>
  </si>
  <si>
    <t>Naphthalene</t>
  </si>
  <si>
    <t>91-20-3</t>
  </si>
  <si>
    <t>Nickel and its compounds</t>
  </si>
  <si>
    <t>7440-02-0</t>
  </si>
  <si>
    <t>Nonylphenols (4-Nonylphenol)</t>
  </si>
  <si>
    <t>84852-15-3</t>
  </si>
  <si>
    <t>Octylphenols ((4-(1,1’,3,3’-tetramethylbutyl)-phenol)</t>
  </si>
  <si>
    <t>140-66-9</t>
  </si>
  <si>
    <t>Pentachlorobenzene (PeCB)</t>
  </si>
  <si>
    <t>608-93-5</t>
  </si>
  <si>
    <t>Pentachlorophenol (PCP)</t>
  </si>
  <si>
    <t>87-86-5</t>
  </si>
  <si>
    <t>PAH - Bezo(a)pyrene</t>
  </si>
  <si>
    <t>50-32-8</t>
  </si>
  <si>
    <t>28a</t>
  </si>
  <si>
    <t>PAH - Benzo(b)fluoranthene</t>
  </si>
  <si>
    <t>205-99-2</t>
  </si>
  <si>
    <t>28b</t>
  </si>
  <si>
    <t>PAH - Benzo(k)fluoranthene</t>
  </si>
  <si>
    <t>207-08-9</t>
  </si>
  <si>
    <t>28c</t>
  </si>
  <si>
    <t>PAH - Benzo(g,h,i)-perylene</t>
  </si>
  <si>
    <t>191-24-2</t>
  </si>
  <si>
    <t>28d</t>
  </si>
  <si>
    <t>PAH - Indeno(1,2,3-cd)-pyrene</t>
  </si>
  <si>
    <t>193-39-5</t>
  </si>
  <si>
    <t>Simazine</t>
  </si>
  <si>
    <t>122-34-9</t>
  </si>
  <si>
    <t>29a</t>
  </si>
  <si>
    <t>Tetrachloroethylene (PERC)</t>
  </si>
  <si>
    <t>127-18-4</t>
  </si>
  <si>
    <t>29b</t>
  </si>
  <si>
    <t>Trichloroethylene (TCE)</t>
  </si>
  <si>
    <t>79-01-6</t>
  </si>
  <si>
    <t>Tributyltin compounds (Tributyltincation) (TBT)</t>
  </si>
  <si>
    <t>36643-28-4</t>
  </si>
  <si>
    <t>Trichlorobenzenes</t>
  </si>
  <si>
    <t>12002-48-1</t>
  </si>
  <si>
    <r>
      <t>Trichloromethane (</t>
    </r>
    <r>
      <rPr>
        <sz val="9"/>
        <color rgb="FF000000"/>
        <rFont val="Arial"/>
        <family val="2"/>
      </rPr>
      <t>Chloroform</t>
    </r>
    <r>
      <rPr>
        <sz val="11"/>
        <color theme="1"/>
        <rFont val="Calibri"/>
        <family val="2"/>
        <scheme val="minor"/>
      </rPr>
      <t>)</t>
    </r>
  </si>
  <si>
    <t>67-66-3</t>
  </si>
  <si>
    <t>Trifluralin</t>
  </si>
  <si>
    <t>1582-09-8</t>
  </si>
  <si>
    <t>Dicofol</t>
  </si>
  <si>
    <t>115-32-2</t>
  </si>
  <si>
    <t>Perfluorooctane sulfonic acid and its derivatives (PFOS)</t>
  </si>
  <si>
    <t>1763-23-1</t>
  </si>
  <si>
    <t>Quinoxyfen</t>
  </si>
  <si>
    <t>124495-18-7</t>
  </si>
  <si>
    <t>Dioxins and dioxin-like compounds</t>
  </si>
  <si>
    <t>Aclonifen</t>
  </si>
  <si>
    <t>74070-46-5</t>
  </si>
  <si>
    <t>Bifenox</t>
  </si>
  <si>
    <t>42576-02-3</t>
  </si>
  <si>
    <t>Cybutryne</t>
  </si>
  <si>
    <t>28159-98-0</t>
  </si>
  <si>
    <t>Cypermethrin</t>
  </si>
  <si>
    <t>52315-07-8</t>
  </si>
  <si>
    <t>Dichlorvos</t>
  </si>
  <si>
    <t>62-73-7</t>
  </si>
  <si>
    <t>Hexabromocyclododecane (HBCDD)</t>
  </si>
  <si>
    <t>3194-55-6</t>
  </si>
  <si>
    <t>Heptachlor and heptachlor epoxide</t>
  </si>
  <si>
    <t>76-44-8 / 1024-57-3</t>
  </si>
  <si>
    <t>Terbutryn</t>
  </si>
  <si>
    <t>886-50-0</t>
  </si>
  <si>
    <t>17-alpha-ethinylestradiol (EE2)</t>
  </si>
  <si>
    <t>First watch list</t>
  </si>
  <si>
    <t>57-63-6</t>
  </si>
  <si>
    <t>17-beta-estradiol (E2)</t>
  </si>
  <si>
    <t>50-28-2</t>
  </si>
  <si>
    <t>Diclofenac</t>
  </si>
  <si>
    <t>15307-86-5</t>
  </si>
  <si>
    <t>Estrone (E1)</t>
  </si>
  <si>
    <t>Second watch list</t>
  </si>
  <si>
    <t>53-16-7</t>
  </si>
  <si>
    <t>Macrolide antibiotics (erythromycin, clarithromycin, azithromycin)</t>
  </si>
  <si>
    <t>114-07-8 / 81103-11-9 / 83905-01-5</t>
  </si>
  <si>
    <t>Methiocarb</t>
  </si>
  <si>
    <t>2032-65-7</t>
  </si>
  <si>
    <t>Neonicotinoids (imidacloprid, thiacloprid, thiamethoxam, clothianidin, acetamiprid)</t>
  </si>
  <si>
    <t>138261-41-3 / 111988-49-9 / 153719-23-4 / 210880-92-5 / 135410-20-7</t>
  </si>
  <si>
    <t>Metaflumizone</t>
  </si>
  <si>
    <t>139968-49-3</t>
  </si>
  <si>
    <t>Amoxicillin</t>
  </si>
  <si>
    <t>26787-78-0</t>
  </si>
  <si>
    <t>Ciprofloxacin</t>
  </si>
  <si>
    <t>85721-33-1</t>
  </si>
  <si>
    <t>Carbamazepine</t>
  </si>
  <si>
    <t xml:space="preserve"> Not included in the other categories</t>
  </si>
  <si>
    <t>298-46-4</t>
  </si>
  <si>
    <t>Ibuprofen</t>
  </si>
  <si>
    <t>15687-27-1</t>
  </si>
  <si>
    <t>Fluoxetine (Prozac)</t>
  </si>
  <si>
    <t>54910-89-3</t>
  </si>
  <si>
    <t>Chloramphenicol</t>
  </si>
  <si>
    <t>56-75-7</t>
  </si>
  <si>
    <t>Sulfamethoxazole</t>
  </si>
  <si>
    <t>723-46-6</t>
  </si>
  <si>
    <t>Ketoprofen</t>
  </si>
  <si>
    <t>22071-15-4</t>
  </si>
  <si>
    <t>Glyphosate</t>
  </si>
  <si>
    <t>1071-83-6</t>
  </si>
  <si>
    <t>AMPA</t>
  </si>
  <si>
    <t>1066-51-9</t>
  </si>
  <si>
    <t>Estriol (E3)</t>
  </si>
  <si>
    <t>50-27-1</t>
  </si>
  <si>
    <t>Weight</t>
  </si>
  <si>
    <t>Min</t>
  </si>
  <si>
    <t>Max</t>
  </si>
  <si>
    <t>weightingfactors</t>
  </si>
  <si>
    <t>Q_wwtp (m3/d)</t>
  </si>
  <si>
    <t>Q_river (m3/s)</t>
  </si>
  <si>
    <t>D</t>
  </si>
  <si>
    <t>C_local_effluent (ug/L)</t>
  </si>
  <si>
    <t>C_local_water (ug/L)</t>
  </si>
  <si>
    <t>Lifespan of the project (years)</t>
  </si>
  <si>
    <t>Primary treatment</t>
  </si>
  <si>
    <t>Secondary treatment</t>
  </si>
  <si>
    <t>Tertiary treatment</t>
  </si>
  <si>
    <t>Advanced treatment</t>
  </si>
  <si>
    <t>Design to average factor</t>
  </si>
  <si>
    <t>Sand Filtration</t>
  </si>
  <si>
    <t>Flow* (m3/d)</t>
  </si>
  <si>
    <t>3. Power supply availability</t>
  </si>
  <si>
    <t>Yes(1) / No(0)</t>
  </si>
  <si>
    <t>Energy Consumption (kWh/m3)</t>
  </si>
  <si>
    <t>Energy Consumption (kWh)</t>
  </si>
  <si>
    <t>Energy (€/KWh)</t>
  </si>
  <si>
    <t>Energy price (€/KWh)</t>
  </si>
  <si>
    <t>Annual Energy Price (€/year)</t>
  </si>
  <si>
    <t>RO Conversion factor</t>
  </si>
  <si>
    <t>Anuity (€/m3)</t>
  </si>
  <si>
    <t>OPEX (€/year)</t>
  </si>
  <si>
    <t>CAPEX_Anuity (€/year)</t>
  </si>
  <si>
    <t>CAPEX (€)</t>
  </si>
  <si>
    <t>Design Flow (m3/d)</t>
  </si>
  <si>
    <t>Input Flow (m3/d)</t>
  </si>
  <si>
    <t>Advanced treatment fraction (%)</t>
  </si>
  <si>
    <t>Boolean factor</t>
  </si>
  <si>
    <t>Properly treated and disposed</t>
  </si>
  <si>
    <t>Not properly treated or disposed</t>
  </si>
  <si>
    <t>Sewage sludge management:</t>
  </si>
  <si>
    <t>Agriculture reuse</t>
  </si>
  <si>
    <t>Landfilling</t>
  </si>
  <si>
    <t>Incineration</t>
  </si>
  <si>
    <t>Sand filtration</t>
  </si>
  <si>
    <t>Ultrafiltration membranes</t>
  </si>
  <si>
    <t>Ultraviolet lamps</t>
  </si>
  <si>
    <t>Reverse osmosis membranes</t>
  </si>
  <si>
    <t>AOP (Ozone)</t>
  </si>
  <si>
    <t>10. Existance of a local regulation or policy regarding micropollutants</t>
  </si>
  <si>
    <t>Name</t>
  </si>
  <si>
    <t>CAPEX (million €)</t>
  </si>
  <si>
    <t>OPEX (thousands €/year)</t>
  </si>
  <si>
    <t>UWPC (€/m3)</t>
  </si>
  <si>
    <t>Energy consumption (kWh)</t>
  </si>
  <si>
    <t>Energy price (€/kWh)</t>
  </si>
  <si>
    <t>Energy OPEX (thousands €/year)</t>
  </si>
  <si>
    <t>Water exploitation index (%)</t>
  </si>
  <si>
    <t>Water pollution as the main environmental issue (%)</t>
  </si>
  <si>
    <t>Environmental impact of the discharge</t>
  </si>
  <si>
    <t>Screening</t>
  </si>
  <si>
    <t>Total score</t>
  </si>
  <si>
    <t>Lotic water body</t>
  </si>
  <si>
    <t xml:space="preserve">Lentic water body </t>
  </si>
  <si>
    <t>Marine water body</t>
  </si>
  <si>
    <t>Wastewater discharge:</t>
  </si>
  <si>
    <t>100</t>
  </si>
  <si>
    <t>satisfied</t>
  </si>
  <si>
    <t>9. Sewage sludge final disposition method</t>
  </si>
  <si>
    <t>Koprivnica</t>
  </si>
  <si>
    <t>8.700</t>
  </si>
  <si>
    <t>163</t>
  </si>
  <si>
    <t>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</si>
</sst>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U&quot;\ #,##0.00_);[Red]\(&quot;$U&quot;\ #,##0.00\)"/>
    <numFmt numFmtId="164" formatCode="0.00000"/>
    <numFmt numFmtId="165" formatCode="0.0"/>
    <numFmt numFmtId="166" formatCode="#,##0.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3" fontId="0" fillId="0" borderId="0" xfId="0" applyNumberFormat="1"/>
    <xf numFmtId="9" fontId="0" fillId="0" borderId="0" xfId="1" applyFont="1"/>
    <xf numFmtId="0" fontId="2" fillId="0" borderId="0" xfId="0" applyFo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0" fillId="0" borderId="1" xfId="0" applyFill="1" applyBorder="1" applyAlignment="1"/>
    <xf numFmtId="3" fontId="0" fillId="0" borderId="1" xfId="0" applyNumberFormat="1" applyBorder="1"/>
    <xf numFmtId="2" fontId="0" fillId="0" borderId="1" xfId="0" applyNumberFormat="1" applyFill="1" applyBorder="1" applyAlignment="1"/>
    <xf numFmtId="4" fontId="2" fillId="2" borderId="0" xfId="0" applyNumberFormat="1" applyFont="1" applyFill="1"/>
    <xf numFmtId="2" fontId="2" fillId="2" borderId="0" xfId="0" applyNumberFormat="1" applyFont="1" applyFill="1"/>
    <xf numFmtId="2" fontId="2" fillId="0" borderId="0" xfId="0" applyNumberFormat="1" applyFont="1"/>
    <xf numFmtId="2" fontId="0" fillId="2" borderId="0" xfId="0" applyNumberFormat="1" applyFill="1"/>
    <xf numFmtId="0" fontId="0" fillId="2" borderId="0" xfId="0" applyFill="1"/>
    <xf numFmtId="4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0" fontId="0" fillId="3" borderId="0" xfId="0" applyFill="1" applyAlignment="1">
      <alignment textRotation="90"/>
    </xf>
    <xf numFmtId="0" fontId="0" fillId="3" borderId="0" xfId="0" applyFill="1"/>
    <xf numFmtId="0" fontId="0" fillId="0" borderId="0" xfId="0" applyFill="1"/>
    <xf numFmtId="0" fontId="5" fillId="3" borderId="0" xfId="0" applyFont="1" applyFill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ill="1" applyBorder="1"/>
    <xf numFmtId="0" fontId="0" fillId="2" borderId="0" xfId="0" applyFill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2" fontId="2" fillId="4" borderId="0" xfId="0" applyNumberFormat="1" applyFont="1" applyFill="1"/>
    <xf numFmtId="164" fontId="0" fillId="0" borderId="0" xfId="0" applyNumberFormat="1"/>
    <xf numFmtId="11" fontId="0" fillId="0" borderId="0" xfId="0" applyNumberFormat="1" applyFill="1"/>
    <xf numFmtId="165" fontId="0" fillId="0" borderId="0" xfId="0" applyNumberFormat="1"/>
    <xf numFmtId="8" fontId="0" fillId="0" borderId="0" xfId="0" applyNumberFormat="1"/>
    <xf numFmtId="2" fontId="0" fillId="0" borderId="1" xfId="0" applyNumberFormat="1" applyBorder="1"/>
    <xf numFmtId="165" fontId="0" fillId="0" borderId="1" xfId="0" applyNumberFormat="1" applyBorder="1"/>
    <xf numFmtId="166" fontId="0" fillId="0" borderId="0" xfId="0" applyNumberFormat="1"/>
    <xf numFmtId="167" fontId="0" fillId="0" borderId="0" xfId="0" applyNumberFormat="1" applyAlignment="1">
      <alignment horizontal="right"/>
    </xf>
    <xf numFmtId="4" fontId="2" fillId="0" borderId="0" xfId="0" applyNumberFormat="1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</cellXfs>
  <cellStyles count="2">
    <cellStyle name="Normal" xfId="0" builtinId="0"/>
    <cellStyle name="Porcentaje" xfId="1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37"/>
  <sheetViews>
    <sheetView topLeftCell="A22" workbookViewId="0">
      <selection activeCell="C27" sqref="C27"/>
    </sheetView>
  </sheetViews>
  <sheetFormatPr baseColWidth="10" defaultRowHeight="15" x14ac:dyDescent="0.25"/>
  <cols>
    <col min="1" max="1" width="31.140625" bestFit="1" customWidth="1"/>
    <col min="2" max="2" width="11.42578125" customWidth="1"/>
  </cols>
  <sheetData>
    <row r="1" spans="1:2" x14ac:dyDescent="0.25">
      <c r="A1" t="s">
        <v>0</v>
      </c>
      <c r="B1" t="s">
        <v>307</v>
      </c>
    </row>
    <row r="3" spans="1:2" x14ac:dyDescent="0.25">
      <c r="A3" t="s">
        <v>1</v>
      </c>
      <c r="B3" t="s">
        <v>14</v>
      </c>
    </row>
    <row r="5" spans="1:2" x14ac:dyDescent="0.25">
      <c r="A5" t="s">
        <v>2</v>
      </c>
    </row>
    <row r="7" spans="1:2" x14ac:dyDescent="0.25">
      <c r="A7" t="s">
        <v>5</v>
      </c>
      <c r="B7">
        <v>1</v>
      </c>
    </row>
    <row r="8" spans="1:2" x14ac:dyDescent="0.25">
      <c r="A8" t="s">
        <v>6</v>
      </c>
      <c r="B8">
        <v>1</v>
      </c>
    </row>
    <row r="9" spans="1:2" x14ac:dyDescent="0.25">
      <c r="A9" t="s">
        <v>7</v>
      </c>
      <c r="B9">
        <v>1</v>
      </c>
    </row>
    <row r="10" spans="1:2" x14ac:dyDescent="0.25">
      <c r="A10" t="s">
        <v>8</v>
      </c>
      <c r="B10">
        <v>1</v>
      </c>
    </row>
    <row r="12" spans="1:2" x14ac:dyDescent="0.25">
      <c r="A12" t="s">
        <v>3</v>
      </c>
      <c r="B12" t="s">
        <v>308</v>
      </c>
    </row>
    <row r="14" spans="1:2" x14ac:dyDescent="0.25">
      <c r="A14" t="s">
        <v>303</v>
      </c>
      <c r="B14" t="s">
        <v>300</v>
      </c>
    </row>
    <row r="16" spans="1:2" x14ac:dyDescent="0.25">
      <c r="A16" t="s">
        <v>4</v>
      </c>
      <c r="B16" t="s">
        <v>309</v>
      </c>
    </row>
    <row r="18" spans="1:2" x14ac:dyDescent="0.25">
      <c r="A18" t="s">
        <v>38</v>
      </c>
      <c r="B18" t="s">
        <v>255</v>
      </c>
    </row>
    <row r="20" spans="1:2" x14ac:dyDescent="0.25">
      <c r="A20" t="s">
        <v>282</v>
      </c>
      <c r="B20">
        <v>1</v>
      </c>
    </row>
    <row r="21" spans="1:2" x14ac:dyDescent="0.25">
      <c r="A21" t="s">
        <v>283</v>
      </c>
      <c r="B21">
        <v>1</v>
      </c>
    </row>
    <row r="22" spans="1:2" x14ac:dyDescent="0.25">
      <c r="A22" t="s">
        <v>284</v>
      </c>
      <c r="B22">
        <v>1</v>
      </c>
    </row>
    <row r="23" spans="1:2" x14ac:dyDescent="0.25">
      <c r="A23" t="s">
        <v>285</v>
      </c>
      <c r="B23">
        <v>1</v>
      </c>
    </row>
    <row r="24" spans="1:2" x14ac:dyDescent="0.25">
      <c r="A24" t="s">
        <v>59</v>
      </c>
      <c r="B24">
        <v>1</v>
      </c>
    </row>
    <row r="25" spans="1:2" x14ac:dyDescent="0.25">
      <c r="A25" t="s">
        <v>286</v>
      </c>
      <c r="B25">
        <v>1</v>
      </c>
    </row>
    <row r="27" spans="1:2" x14ac:dyDescent="0.25">
      <c r="A27" t="s">
        <v>274</v>
      </c>
      <c r="B27" t="s">
        <v>304</v>
      </c>
    </row>
    <row r="29" spans="1:2" x14ac:dyDescent="0.25">
      <c r="A29" t="s">
        <v>278</v>
      </c>
      <c r="B29" t="s">
        <v>276</v>
      </c>
    </row>
    <row r="31" spans="1:2" x14ac:dyDescent="0.25">
      <c r="A31" t="s">
        <v>279</v>
      </c>
      <c r="B31">
        <v>0</v>
      </c>
    </row>
    <row r="32" spans="1:2" x14ac:dyDescent="0.25">
      <c r="A32" t="s">
        <v>280</v>
      </c>
      <c r="B32">
        <v>1</v>
      </c>
    </row>
    <row r="33" spans="1:2" x14ac:dyDescent="0.25">
      <c r="A33" t="s">
        <v>281</v>
      </c>
      <c r="B33">
        <v>0</v>
      </c>
    </row>
    <row r="35" spans="1:2" x14ac:dyDescent="0.25">
      <c r="A35" t="s">
        <v>53</v>
      </c>
      <c r="B35" t="s">
        <v>310</v>
      </c>
    </row>
    <row r="37" spans="1:2" x14ac:dyDescent="0.25">
      <c r="A37" t="s">
        <v>252</v>
      </c>
      <c r="B37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30"/>
  <sheetViews>
    <sheetView workbookViewId="0">
      <selection activeCell="B2" sqref="B2"/>
    </sheetView>
  </sheetViews>
  <sheetFormatPr baseColWidth="10" defaultRowHeight="15" x14ac:dyDescent="0.25"/>
  <cols>
    <col min="1" max="1" width="62.7109375" customWidth="1"/>
    <col min="2" max="2" width="13.28515625" customWidth="1"/>
  </cols>
  <sheetData>
    <row r="1" spans="1:2" x14ac:dyDescent="0.25">
      <c r="B1" t="s">
        <v>261</v>
      </c>
    </row>
    <row r="2" spans="1:2" x14ac:dyDescent="0.25">
      <c r="A2" t="s">
        <v>39</v>
      </c>
      <c r="B2" s="17">
        <v>0</v>
      </c>
    </row>
    <row r="3" spans="1:2" x14ac:dyDescent="0.25">
      <c r="A3" t="s">
        <v>40</v>
      </c>
      <c r="B3" s="17">
        <v>1</v>
      </c>
    </row>
    <row r="4" spans="1:2" x14ac:dyDescent="0.25">
      <c r="A4" t="s">
        <v>260</v>
      </c>
      <c r="B4" s="17">
        <v>1</v>
      </c>
    </row>
    <row r="5" spans="1:2" x14ac:dyDescent="0.25">
      <c r="A5" t="s">
        <v>41</v>
      </c>
      <c r="B5" s="17">
        <v>1</v>
      </c>
    </row>
    <row r="6" spans="1:2" x14ac:dyDescent="0.25">
      <c r="A6" t="s">
        <v>42</v>
      </c>
      <c r="B6" s="17">
        <v>0</v>
      </c>
    </row>
    <row r="7" spans="1:2" x14ac:dyDescent="0.25">
      <c r="A7" t="s">
        <v>43</v>
      </c>
      <c r="B7" s="17">
        <v>0</v>
      </c>
    </row>
    <row r="8" spans="1:2" x14ac:dyDescent="0.25">
      <c r="A8" t="s">
        <v>44</v>
      </c>
      <c r="B8" s="17">
        <v>0</v>
      </c>
    </row>
    <row r="9" spans="1:2" x14ac:dyDescent="0.25">
      <c r="A9" t="s">
        <v>45</v>
      </c>
      <c r="B9" s="17">
        <v>1</v>
      </c>
    </row>
    <row r="10" spans="1:2" x14ac:dyDescent="0.25">
      <c r="A10" t="s">
        <v>306</v>
      </c>
      <c r="B10" s="17">
        <v>0</v>
      </c>
    </row>
    <row r="11" spans="1:2" x14ac:dyDescent="0.25">
      <c r="A11" t="s">
        <v>287</v>
      </c>
      <c r="B11" s="17">
        <v>0</v>
      </c>
    </row>
    <row r="12" spans="1:2" x14ac:dyDescent="0.25">
      <c r="B12" s="17"/>
    </row>
    <row r="13" spans="1:2" x14ac:dyDescent="0.25">
      <c r="A13" t="s">
        <v>47</v>
      </c>
      <c r="B13" s="17">
        <f>SUM(B3,B9)</f>
        <v>2</v>
      </c>
    </row>
    <row r="14" spans="1:2" x14ac:dyDescent="0.25">
      <c r="A14" t="s">
        <v>46</v>
      </c>
      <c r="B14" s="17">
        <f>SUM(B2:B11)</f>
        <v>4</v>
      </c>
    </row>
    <row r="20" spans="2:3" x14ac:dyDescent="0.25">
      <c r="B20" t="s">
        <v>9</v>
      </c>
    </row>
    <row r="21" spans="2:3" x14ac:dyDescent="0.25">
      <c r="B21" t="s">
        <v>9</v>
      </c>
    </row>
    <row r="22" spans="2:3" x14ac:dyDescent="0.25">
      <c r="B22" t="s">
        <v>9</v>
      </c>
    </row>
    <row r="23" spans="2:3" x14ac:dyDescent="0.25">
      <c r="B23" t="s">
        <v>9</v>
      </c>
    </row>
    <row r="27" spans="2:3" x14ac:dyDescent="0.25">
      <c r="C27" t="s">
        <v>9</v>
      </c>
    </row>
    <row r="28" spans="2:3" x14ac:dyDescent="0.25">
      <c r="C28" t="s">
        <v>9</v>
      </c>
    </row>
    <row r="29" spans="2:3" x14ac:dyDescent="0.25">
      <c r="C29" t="s">
        <v>9</v>
      </c>
    </row>
    <row r="30" spans="2:3" x14ac:dyDescent="0.25">
      <c r="C30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57"/>
  <sheetViews>
    <sheetView workbookViewId="0">
      <selection activeCell="O12" sqref="O12"/>
    </sheetView>
  </sheetViews>
  <sheetFormatPr baseColWidth="10" defaultRowHeight="15" x14ac:dyDescent="0.25"/>
  <cols>
    <col min="2" max="2" width="19" customWidth="1"/>
  </cols>
  <sheetData>
    <row r="1" spans="1:6" x14ac:dyDescent="0.25">
      <c r="B1" t="s">
        <v>10</v>
      </c>
      <c r="C1" t="s">
        <v>61</v>
      </c>
      <c r="D1" t="s">
        <v>66</v>
      </c>
      <c r="E1" t="s">
        <v>73</v>
      </c>
      <c r="F1" t="s">
        <v>264</v>
      </c>
    </row>
    <row r="2" spans="1:6" x14ac:dyDescent="0.25">
      <c r="A2">
        <v>1</v>
      </c>
      <c r="B2" t="s">
        <v>11</v>
      </c>
      <c r="C2">
        <v>3.67</v>
      </c>
      <c r="D2" t="s">
        <v>67</v>
      </c>
      <c r="E2">
        <v>52</v>
      </c>
      <c r="F2" s="46">
        <v>7.0400000000000004E-2</v>
      </c>
    </row>
    <row r="3" spans="1:6" x14ac:dyDescent="0.25">
      <c r="A3">
        <v>2</v>
      </c>
      <c r="B3" t="s">
        <v>12</v>
      </c>
      <c r="C3">
        <v>4.53</v>
      </c>
      <c r="D3">
        <v>25.5</v>
      </c>
      <c r="E3">
        <v>48</v>
      </c>
      <c r="F3" s="46">
        <v>7.5300000000000006E-2</v>
      </c>
    </row>
    <row r="4" spans="1:6" x14ac:dyDescent="0.25">
      <c r="A4">
        <v>3</v>
      </c>
      <c r="B4" t="s">
        <v>13</v>
      </c>
      <c r="C4" s="11">
        <f>1.05/1.12</f>
        <v>0.9375</v>
      </c>
      <c r="D4">
        <v>5.6</v>
      </c>
      <c r="E4">
        <v>51</v>
      </c>
      <c r="F4" s="46">
        <v>0.08</v>
      </c>
    </row>
    <row r="5" spans="1:6" x14ac:dyDescent="0.25">
      <c r="A5">
        <v>4</v>
      </c>
      <c r="B5" t="s">
        <v>14</v>
      </c>
      <c r="C5">
        <v>1.98</v>
      </c>
      <c r="D5" s="4">
        <v>0.6</v>
      </c>
      <c r="E5">
        <v>48</v>
      </c>
      <c r="F5" s="46">
        <v>8.48E-2</v>
      </c>
    </row>
    <row r="6" spans="1:6" x14ac:dyDescent="0.25">
      <c r="A6">
        <v>5</v>
      </c>
      <c r="B6" t="s">
        <v>15</v>
      </c>
      <c r="C6" s="1">
        <v>2.9</v>
      </c>
      <c r="D6" s="4">
        <v>72.3</v>
      </c>
      <c r="E6">
        <v>58</v>
      </c>
      <c r="F6" s="46">
        <v>0.1241</v>
      </c>
    </row>
    <row r="7" spans="1:6" x14ac:dyDescent="0.25">
      <c r="A7">
        <v>6</v>
      </c>
      <c r="B7" t="s">
        <v>16</v>
      </c>
      <c r="C7">
        <v>3.27</v>
      </c>
      <c r="D7">
        <v>10</v>
      </c>
      <c r="E7">
        <v>44</v>
      </c>
      <c r="F7" s="46">
        <v>7.22E-2</v>
      </c>
    </row>
    <row r="8" spans="1:6" x14ac:dyDescent="0.25">
      <c r="A8">
        <v>7</v>
      </c>
      <c r="B8" t="s">
        <v>17</v>
      </c>
      <c r="C8" s="12">
        <v>9</v>
      </c>
      <c r="D8">
        <v>4.5999999999999996</v>
      </c>
      <c r="E8">
        <v>57</v>
      </c>
      <c r="F8" s="46">
        <v>5.9299999999999999E-2</v>
      </c>
    </row>
    <row r="9" spans="1:6" x14ac:dyDescent="0.25">
      <c r="A9">
        <v>8</v>
      </c>
      <c r="B9" t="s">
        <v>18</v>
      </c>
      <c r="C9">
        <v>3.16</v>
      </c>
      <c r="D9">
        <v>14</v>
      </c>
      <c r="E9">
        <v>47</v>
      </c>
      <c r="F9" s="46">
        <v>7.3099999999999998E-2</v>
      </c>
    </row>
    <row r="10" spans="1:6" x14ac:dyDescent="0.25">
      <c r="A10">
        <v>9</v>
      </c>
      <c r="B10" t="s">
        <v>19</v>
      </c>
      <c r="C10">
        <v>5.89</v>
      </c>
      <c r="D10">
        <v>6</v>
      </c>
      <c r="E10" s="4">
        <v>67</v>
      </c>
      <c r="F10" s="46">
        <v>6.1100000000000002E-2</v>
      </c>
    </row>
    <row r="11" spans="1:6" x14ac:dyDescent="0.25">
      <c r="A11">
        <v>10</v>
      </c>
      <c r="B11" t="s">
        <v>20</v>
      </c>
      <c r="C11">
        <v>3.92</v>
      </c>
      <c r="D11">
        <v>15.7</v>
      </c>
      <c r="E11">
        <v>52</v>
      </c>
      <c r="F11" s="46">
        <v>7.3700000000000002E-2</v>
      </c>
    </row>
    <row r="12" spans="1:6" x14ac:dyDescent="0.25">
      <c r="A12">
        <v>11</v>
      </c>
      <c r="B12" t="s">
        <v>21</v>
      </c>
      <c r="C12" s="13">
        <f>6.06/1.12</f>
        <v>5.4107142857142847</v>
      </c>
      <c r="D12">
        <v>17.600000000000001</v>
      </c>
      <c r="E12">
        <v>54</v>
      </c>
      <c r="F12" s="46">
        <v>7.7100000000000002E-2</v>
      </c>
    </row>
    <row r="13" spans="1:6" x14ac:dyDescent="0.25">
      <c r="A13">
        <v>12</v>
      </c>
      <c r="B13" t="s">
        <v>22</v>
      </c>
      <c r="C13">
        <v>1.4</v>
      </c>
      <c r="D13">
        <v>13.8</v>
      </c>
      <c r="E13">
        <v>64</v>
      </c>
      <c r="F13" s="46">
        <v>7.9100000000000004E-2</v>
      </c>
    </row>
    <row r="14" spans="1:6" x14ac:dyDescent="0.25">
      <c r="A14">
        <v>13</v>
      </c>
      <c r="B14" t="s">
        <v>23</v>
      </c>
      <c r="C14">
        <v>2.65</v>
      </c>
      <c r="D14">
        <v>4.3</v>
      </c>
      <c r="E14">
        <v>49</v>
      </c>
      <c r="F14" s="46">
        <v>7.3800000000000004E-2</v>
      </c>
    </row>
    <row r="15" spans="1:6" x14ac:dyDescent="0.25">
      <c r="A15">
        <v>14</v>
      </c>
      <c r="B15" t="s">
        <v>24</v>
      </c>
      <c r="C15" s="13">
        <f>1.63/1.12</f>
        <v>1.4553571428571426</v>
      </c>
      <c r="D15">
        <v>1.4</v>
      </c>
      <c r="E15">
        <v>57</v>
      </c>
      <c r="F15" s="46">
        <v>0.1171</v>
      </c>
    </row>
    <row r="16" spans="1:6" x14ac:dyDescent="0.25">
      <c r="A16">
        <v>15</v>
      </c>
      <c r="B16" t="s">
        <v>25</v>
      </c>
      <c r="C16">
        <v>1.5</v>
      </c>
      <c r="D16">
        <v>36.299999999999997</v>
      </c>
      <c r="E16">
        <v>51</v>
      </c>
      <c r="F16" s="46">
        <v>8.9200000000000002E-2</v>
      </c>
    </row>
    <row r="17" spans="1:6" x14ac:dyDescent="0.25">
      <c r="A17">
        <v>16</v>
      </c>
      <c r="B17" t="s">
        <v>26</v>
      </c>
      <c r="C17" s="13">
        <f>1.75/1.12</f>
        <v>1.5624999999999998</v>
      </c>
      <c r="D17">
        <v>0.7</v>
      </c>
      <c r="E17">
        <v>61</v>
      </c>
      <c r="F17" s="46">
        <v>8.1100000000000005E-2</v>
      </c>
    </row>
    <row r="18" spans="1:6" x14ac:dyDescent="0.25">
      <c r="A18">
        <v>17</v>
      </c>
      <c r="B18" t="s">
        <v>27</v>
      </c>
      <c r="C18" s="14">
        <v>1.91</v>
      </c>
      <c r="D18">
        <v>1.8</v>
      </c>
      <c r="E18">
        <v>53</v>
      </c>
      <c r="F18" s="46">
        <v>7.0099999999999996E-2</v>
      </c>
    </row>
    <row r="19" spans="1:6" x14ac:dyDescent="0.25">
      <c r="A19">
        <v>18</v>
      </c>
      <c r="B19" t="s">
        <v>28</v>
      </c>
      <c r="C19" s="1">
        <v>6</v>
      </c>
      <c r="D19">
        <v>2.8</v>
      </c>
      <c r="E19">
        <v>56</v>
      </c>
      <c r="F19" s="46">
        <v>7.46E-2</v>
      </c>
    </row>
    <row r="20" spans="1:6" x14ac:dyDescent="0.25">
      <c r="A20">
        <v>19</v>
      </c>
      <c r="B20" t="s">
        <v>29</v>
      </c>
      <c r="C20">
        <v>3.32</v>
      </c>
      <c r="D20">
        <v>48.2</v>
      </c>
      <c r="E20">
        <v>40</v>
      </c>
      <c r="F20" s="46">
        <v>0.13469999999999999</v>
      </c>
    </row>
    <row r="21" spans="1:6" x14ac:dyDescent="0.25">
      <c r="A21">
        <v>20</v>
      </c>
      <c r="B21" t="s">
        <v>30</v>
      </c>
      <c r="C21">
        <v>3.91</v>
      </c>
      <c r="D21">
        <v>10.3</v>
      </c>
      <c r="E21">
        <v>57</v>
      </c>
      <c r="F21" s="46">
        <v>6.1100000000000002E-2</v>
      </c>
    </row>
    <row r="22" spans="1:6" x14ac:dyDescent="0.25">
      <c r="A22">
        <v>21</v>
      </c>
      <c r="B22" t="s">
        <v>31</v>
      </c>
      <c r="C22">
        <v>2.15</v>
      </c>
      <c r="D22">
        <v>18.399999999999999</v>
      </c>
      <c r="E22" s="4">
        <v>37</v>
      </c>
      <c r="F22" s="46">
        <v>6.7100000000000007E-2</v>
      </c>
    </row>
    <row r="23" spans="1:6" x14ac:dyDescent="0.25">
      <c r="A23">
        <v>22</v>
      </c>
      <c r="B23" t="s">
        <v>32</v>
      </c>
      <c r="C23">
        <v>1.82</v>
      </c>
      <c r="D23">
        <v>15.1</v>
      </c>
      <c r="E23">
        <v>51</v>
      </c>
      <c r="F23" s="46">
        <v>7.8100000000000003E-2</v>
      </c>
    </row>
    <row r="24" spans="1:6" x14ac:dyDescent="0.25">
      <c r="A24">
        <v>23</v>
      </c>
      <c r="B24" t="s">
        <v>33</v>
      </c>
      <c r="C24">
        <v>1.42</v>
      </c>
      <c r="D24">
        <v>17.8</v>
      </c>
      <c r="E24">
        <v>45</v>
      </c>
      <c r="F24" s="46">
        <v>7.0999999999999994E-2</v>
      </c>
    </row>
    <row r="25" spans="1:6" x14ac:dyDescent="0.25">
      <c r="A25">
        <v>24</v>
      </c>
      <c r="B25" t="s">
        <v>34</v>
      </c>
      <c r="C25" s="1">
        <v>2.4</v>
      </c>
      <c r="D25">
        <v>0.7</v>
      </c>
      <c r="E25">
        <v>48</v>
      </c>
      <c r="F25" s="46">
        <v>7.9000000000000001E-2</v>
      </c>
    </row>
    <row r="26" spans="1:6" x14ac:dyDescent="0.25">
      <c r="A26">
        <v>25</v>
      </c>
      <c r="B26" t="s">
        <v>35</v>
      </c>
      <c r="C26">
        <v>2.17</v>
      </c>
      <c r="D26">
        <v>2.8</v>
      </c>
      <c r="E26">
        <v>49</v>
      </c>
      <c r="F26" s="46">
        <v>6.8900000000000003E-2</v>
      </c>
    </row>
    <row r="27" spans="1:6" x14ac:dyDescent="0.25">
      <c r="A27">
        <v>26</v>
      </c>
      <c r="B27" t="s">
        <v>72</v>
      </c>
      <c r="C27">
        <v>1.78</v>
      </c>
      <c r="D27">
        <v>29.6</v>
      </c>
      <c r="E27">
        <v>57</v>
      </c>
      <c r="F27" s="46">
        <v>0.1008</v>
      </c>
    </row>
    <row r="28" spans="1:6" x14ac:dyDescent="0.25">
      <c r="A28">
        <v>27</v>
      </c>
      <c r="B28" t="s">
        <v>36</v>
      </c>
      <c r="C28">
        <v>4.4400000000000004</v>
      </c>
      <c r="D28">
        <v>1.4</v>
      </c>
      <c r="E28">
        <v>64</v>
      </c>
      <c r="F28" s="46">
        <v>6.7900000000000002E-2</v>
      </c>
    </row>
    <row r="29" spans="1:6" x14ac:dyDescent="0.25">
      <c r="A29">
        <v>28</v>
      </c>
      <c r="B29" t="s">
        <v>37</v>
      </c>
      <c r="C29">
        <v>3.54</v>
      </c>
      <c r="D29">
        <v>4.2</v>
      </c>
      <c r="E29">
        <v>39</v>
      </c>
      <c r="F29" s="46">
        <v>9.7000000000000003E-2</v>
      </c>
    </row>
    <row r="31" spans="1:6" x14ac:dyDescent="0.25">
      <c r="B31" t="s">
        <v>68</v>
      </c>
      <c r="C31" s="1">
        <f>AVERAGE(C2:C29)</f>
        <v>3.1462882653061226</v>
      </c>
      <c r="D31" s="41">
        <f>AVERAGE(D2:D29)</f>
        <v>14.12962962962963</v>
      </c>
      <c r="E31">
        <f>AVERAGE(E2:E29)</f>
        <v>52</v>
      </c>
      <c r="F31">
        <f>AVERAGE(F2:F29)</f>
        <v>8.0775E-2</v>
      </c>
    </row>
    <row r="32" spans="1:6" x14ac:dyDescent="0.25">
      <c r="B32" t="s">
        <v>70</v>
      </c>
      <c r="C32" s="1">
        <f>MIN(C2:C29)</f>
        <v>0.9375</v>
      </c>
      <c r="D32">
        <f>MIN(D2:D29)</f>
        <v>0.6</v>
      </c>
      <c r="E32">
        <f>MIN(E2:E29)</f>
        <v>37</v>
      </c>
      <c r="F32">
        <f>MIN(F2:F29)</f>
        <v>5.9299999999999999E-2</v>
      </c>
    </row>
    <row r="33" spans="2:6" x14ac:dyDescent="0.25">
      <c r="B33" t="s">
        <v>69</v>
      </c>
      <c r="C33" s="1">
        <f>MAX(C2:C29)</f>
        <v>9</v>
      </c>
      <c r="D33">
        <f>MAX(D2:D29)</f>
        <v>72.3</v>
      </c>
      <c r="E33">
        <f>MAX(E2:E29)</f>
        <v>67</v>
      </c>
      <c r="F33">
        <f>MAX(F2:F29)</f>
        <v>0.13469999999999999</v>
      </c>
    </row>
    <row r="36" spans="2:6" x14ac:dyDescent="0.25">
      <c r="B36" t="s">
        <v>253</v>
      </c>
    </row>
    <row r="37" spans="2:6" x14ac:dyDescent="0.25">
      <c r="B37" t="s">
        <v>254</v>
      </c>
    </row>
    <row r="38" spans="2:6" x14ac:dyDescent="0.25">
      <c r="B38" t="s">
        <v>255</v>
      </c>
    </row>
    <row r="39" spans="2:6" x14ac:dyDescent="0.25">
      <c r="B39" t="s">
        <v>256</v>
      </c>
    </row>
    <row r="41" spans="2:6" x14ac:dyDescent="0.25">
      <c r="B41" t="s">
        <v>276</v>
      </c>
    </row>
    <row r="42" spans="2:6" x14ac:dyDescent="0.25">
      <c r="B42" t="s">
        <v>277</v>
      </c>
    </row>
    <row r="44" spans="2:6" x14ac:dyDescent="0.25">
      <c r="B44">
        <v>1</v>
      </c>
    </row>
    <row r="45" spans="2:6" x14ac:dyDescent="0.25">
      <c r="B45">
        <v>2</v>
      </c>
    </row>
    <row r="46" spans="2:6" x14ac:dyDescent="0.25">
      <c r="B46">
        <v>3</v>
      </c>
    </row>
    <row r="47" spans="2:6" x14ac:dyDescent="0.25">
      <c r="B47">
        <v>4</v>
      </c>
    </row>
    <row r="48" spans="2:6" x14ac:dyDescent="0.25">
      <c r="B48">
        <v>5</v>
      </c>
    </row>
    <row r="49" spans="2:2" x14ac:dyDescent="0.25">
      <c r="B49">
        <v>6</v>
      </c>
    </row>
    <row r="50" spans="2:2" x14ac:dyDescent="0.25">
      <c r="B50">
        <v>7</v>
      </c>
    </row>
    <row r="51" spans="2:2" x14ac:dyDescent="0.25">
      <c r="B51">
        <v>8</v>
      </c>
    </row>
    <row r="52" spans="2:2" x14ac:dyDescent="0.25">
      <c r="B52">
        <v>9</v>
      </c>
    </row>
    <row r="53" spans="2:2" x14ac:dyDescent="0.25">
      <c r="B53">
        <v>10</v>
      </c>
    </row>
    <row r="55" spans="2:2" x14ac:dyDescent="0.25">
      <c r="B55" t="s">
        <v>300</v>
      </c>
    </row>
    <row r="56" spans="2:2" x14ac:dyDescent="0.25">
      <c r="B56" t="s">
        <v>301</v>
      </c>
    </row>
    <row r="57" spans="2:2" x14ac:dyDescent="0.25">
      <c r="B57" t="s">
        <v>302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9"/>
  <sheetViews>
    <sheetView tabSelected="1" workbookViewId="0">
      <selection activeCell="F15" sqref="F15"/>
    </sheetView>
  </sheetViews>
  <sheetFormatPr baseColWidth="10" defaultRowHeight="15" x14ac:dyDescent="0.25"/>
  <cols>
    <col min="1" max="1" width="34.7109375" bestFit="1" customWidth="1"/>
    <col min="2" max="3" width="11.85546875" bestFit="1" customWidth="1"/>
  </cols>
  <sheetData>
    <row r="1" spans="1:8" x14ac:dyDescent="0.25">
      <c r="A1" t="s">
        <v>65</v>
      </c>
      <c r="B1" t="s">
        <v>62</v>
      </c>
      <c r="C1" t="s">
        <v>63</v>
      </c>
      <c r="D1" t="s">
        <v>64</v>
      </c>
      <c r="E1" t="s">
        <v>71</v>
      </c>
      <c r="F1" t="s">
        <v>246</v>
      </c>
    </row>
    <row r="2" spans="1:8" x14ac:dyDescent="0.25">
      <c r="A2" t="s">
        <v>48</v>
      </c>
      <c r="B2" s="15">
        <f>+MCA_1!F18</f>
        <v>1.1660927741752705</v>
      </c>
      <c r="C2" s="15">
        <f>VLOOKUP(Input!B3,Database!B2:C29,2)</f>
        <v>1.98</v>
      </c>
      <c r="D2" s="1">
        <f>MIN(Database!C2:C29)</f>
        <v>0.9375</v>
      </c>
      <c r="E2" s="16">
        <f>IF(B2&gt;C2,0,IF(B2&lt;D2,100,FORECAST(B2,C7:D7,C2:D2)))</f>
        <v>78.07263557071748</v>
      </c>
      <c r="F2">
        <v>6</v>
      </c>
      <c r="G2" s="41">
        <f>+F2/$F$7</f>
        <v>0.3</v>
      </c>
      <c r="H2" s="1">
        <f>+E2*G2</f>
        <v>23.421790671215245</v>
      </c>
    </row>
    <row r="3" spans="1:8" x14ac:dyDescent="0.25">
      <c r="A3" t="s">
        <v>49</v>
      </c>
      <c r="B3" s="1">
        <f>VLOOKUP(Input!B3,Database!B2:E29,3)</f>
        <v>0.6</v>
      </c>
      <c r="C3" s="1">
        <f>+Database!D32</f>
        <v>0.6</v>
      </c>
      <c r="D3" s="1">
        <f>+Database!D33</f>
        <v>72.3</v>
      </c>
      <c r="E3" s="16">
        <f>IF(B3="N/D",0,FORECAST(B3,C7:D7,C3:D3))</f>
        <v>1.8873791418627661E-15</v>
      </c>
      <c r="F3">
        <v>1</v>
      </c>
      <c r="G3" s="41">
        <f>+F3/$F$7</f>
        <v>0.05</v>
      </c>
      <c r="H3" s="1">
        <f>+E3*G3</f>
        <v>9.4368957093138316E-17</v>
      </c>
    </row>
    <row r="4" spans="1:8" x14ac:dyDescent="0.25">
      <c r="A4" t="s">
        <v>50</v>
      </c>
      <c r="B4" s="1">
        <f>VLOOKUP(Input!B3,Database!B2:E29,4)</f>
        <v>48</v>
      </c>
      <c r="C4">
        <f>+Database!E32</f>
        <v>37</v>
      </c>
      <c r="D4">
        <f>+Database!E33</f>
        <v>67</v>
      </c>
      <c r="E4" s="16">
        <f>IF(B4="N/D",0,FORECAST(B4,C7:D7,C4:D4))</f>
        <v>36.666666666666657</v>
      </c>
      <c r="F4">
        <v>8</v>
      </c>
      <c r="G4" s="41">
        <f>+F4/$F$7</f>
        <v>0.4</v>
      </c>
      <c r="H4" s="1">
        <f>+E4*G4</f>
        <v>14.666666666666664</v>
      </c>
    </row>
    <row r="5" spans="1:8" x14ac:dyDescent="0.25">
      <c r="A5" s="24" t="s">
        <v>51</v>
      </c>
      <c r="B5" s="40">
        <f>+MCA_4!B6</f>
        <v>7.7789368360547551E-3</v>
      </c>
      <c r="C5" s="40">
        <v>1E-8</v>
      </c>
      <c r="D5" s="24">
        <v>12.6</v>
      </c>
      <c r="E5" s="16">
        <f>IF(Input!B14="Lentic water body",100,IF(Input!B14="Marine water body",0,IF(AND(Input!B14="Lotic water body",B5&gt;D5),100,IF(B5&lt;C5,0,FORECAST(B5,C7:D7,C5:D5)))))</f>
        <v>6.1737514620846555E-2</v>
      </c>
      <c r="F5" s="24">
        <v>4</v>
      </c>
      <c r="G5" s="41">
        <f>+F5/$F$7</f>
        <v>0.2</v>
      </c>
      <c r="H5" s="16">
        <f>+E5*G5</f>
        <v>1.2347502924169312E-2</v>
      </c>
    </row>
    <row r="6" spans="1:8" x14ac:dyDescent="0.25">
      <c r="A6" t="s">
        <v>52</v>
      </c>
      <c r="B6" s="1">
        <f>HLOOKUP(Input!B3,MCA_5!E2:AF84,83)</f>
        <v>17.5</v>
      </c>
      <c r="C6">
        <f>+MCA_5!C84</f>
        <v>17.5</v>
      </c>
      <c r="D6">
        <f>+MCA_5!D84</f>
        <v>29.25</v>
      </c>
      <c r="E6" s="16">
        <f>IF(B6="N/D",0,FORECAST(B6,C7:D7,C6:D6))</f>
        <v>0</v>
      </c>
      <c r="F6">
        <v>1</v>
      </c>
      <c r="G6" s="41">
        <f>+F6/$F$7</f>
        <v>0.05</v>
      </c>
      <c r="H6" s="1">
        <f>+E6*G6</f>
        <v>0</v>
      </c>
    </row>
    <row r="7" spans="1:8" x14ac:dyDescent="0.25">
      <c r="C7">
        <v>0</v>
      </c>
      <c r="D7">
        <v>100</v>
      </c>
      <c r="F7" s="24">
        <f>SUM(F2:F6)</f>
        <v>20</v>
      </c>
      <c r="G7" s="41"/>
      <c r="H7" s="38">
        <f>ROUND(SUM(H2:H6),0)</f>
        <v>38</v>
      </c>
    </row>
    <row r="8" spans="1:8" x14ac:dyDescent="0.25">
      <c r="F8" s="41"/>
      <c r="G8" s="41"/>
    </row>
    <row r="9" spans="1:8" x14ac:dyDescent="0.25">
      <c r="H9" s="5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J19"/>
  <sheetViews>
    <sheetView workbookViewId="0">
      <selection activeCell="B6" sqref="B6"/>
    </sheetView>
  </sheetViews>
  <sheetFormatPr baseColWidth="10" defaultRowHeight="15" x14ac:dyDescent="0.25"/>
  <cols>
    <col min="1" max="1" width="28.5703125" customWidth="1"/>
    <col min="2" max="2" width="13.7109375" customWidth="1"/>
    <col min="5" max="5" width="13.5703125" customWidth="1"/>
    <col min="7" max="7" width="15.85546875" bestFit="1" customWidth="1"/>
  </cols>
  <sheetData>
    <row r="1" spans="1:10" x14ac:dyDescent="0.25">
      <c r="H1" s="2"/>
      <c r="I1" s="2"/>
    </row>
    <row r="2" spans="1:10" x14ac:dyDescent="0.25">
      <c r="A2" t="s">
        <v>273</v>
      </c>
      <c r="B2" t="str">
        <f>+Input!B12</f>
        <v>8.700</v>
      </c>
      <c r="H2" s="2"/>
      <c r="I2" s="2"/>
    </row>
    <row r="3" spans="1:10" x14ac:dyDescent="0.25">
      <c r="A3" t="s">
        <v>274</v>
      </c>
      <c r="B3" t="str">
        <f>+Input!B27</f>
        <v>100</v>
      </c>
      <c r="H3" s="2"/>
      <c r="I3" s="2"/>
    </row>
    <row r="4" spans="1:10" x14ac:dyDescent="0.25">
      <c r="A4" t="s">
        <v>272</v>
      </c>
      <c r="B4">
        <f>+B2*(B3/100)</f>
        <v>8700</v>
      </c>
      <c r="C4" s="1"/>
    </row>
    <row r="5" spans="1:10" x14ac:dyDescent="0.25">
      <c r="A5" t="s">
        <v>267</v>
      </c>
      <c r="B5">
        <v>0.7</v>
      </c>
      <c r="C5" s="1"/>
      <c r="H5" s="45"/>
      <c r="J5" s="1"/>
    </row>
    <row r="6" spans="1:10" x14ac:dyDescent="0.25">
      <c r="A6" t="s">
        <v>259</v>
      </c>
      <c r="B6">
        <f>+B4*B5</f>
        <v>6090</v>
      </c>
      <c r="C6" s="1"/>
      <c r="J6" s="1"/>
    </row>
    <row r="7" spans="1:10" x14ac:dyDescent="0.25">
      <c r="A7" t="s">
        <v>257</v>
      </c>
      <c r="B7">
        <v>0.5</v>
      </c>
      <c r="C7" s="1"/>
      <c r="H7" s="45"/>
      <c r="J7" s="1"/>
    </row>
    <row r="8" spans="1:10" x14ac:dyDescent="0.25">
      <c r="A8" t="s">
        <v>53</v>
      </c>
      <c r="B8" s="3">
        <f>+Input!B35/100</f>
        <v>0.02</v>
      </c>
      <c r="C8" s="1"/>
      <c r="H8" s="2"/>
      <c r="J8" s="1"/>
    </row>
    <row r="9" spans="1:10" x14ac:dyDescent="0.25">
      <c r="A9" t="s">
        <v>54</v>
      </c>
      <c r="B9" s="24">
        <f>+Input!B37</f>
        <v>20</v>
      </c>
      <c r="H9" s="45"/>
      <c r="J9" s="1"/>
    </row>
    <row r="10" spans="1:10" x14ac:dyDescent="0.25">
      <c r="A10" t="s">
        <v>265</v>
      </c>
      <c r="B10" s="16">
        <f>VLOOKUP(Input!B3,Database!B2:F29,5)</f>
        <v>8.48E-2</v>
      </c>
    </row>
    <row r="11" spans="1:10" x14ac:dyDescent="0.25">
      <c r="A11" s="4" t="s">
        <v>55</v>
      </c>
      <c r="B11" s="4" t="s">
        <v>275</v>
      </c>
      <c r="C11" s="4" t="s">
        <v>271</v>
      </c>
      <c r="D11" s="4" t="s">
        <v>270</v>
      </c>
      <c r="E11" s="4" t="s">
        <v>269</v>
      </c>
      <c r="F11" s="4" t="s">
        <v>268</v>
      </c>
      <c r="H11" s="4" t="s">
        <v>262</v>
      </c>
      <c r="I11" s="4" t="s">
        <v>263</v>
      </c>
      <c r="J11" s="4" t="s">
        <v>266</v>
      </c>
    </row>
    <row r="12" spans="1:10" x14ac:dyDescent="0.25">
      <c r="A12" s="5" t="s">
        <v>258</v>
      </c>
      <c r="B12">
        <f>+Input!B20</f>
        <v>1</v>
      </c>
      <c r="C12" s="2">
        <f>10^(0.1886*LOG10(B4)^2-0.9659*LOG10(B4)+6.3895)*B12</f>
        <v>324604.76155815111</v>
      </c>
      <c r="D12" s="2">
        <f t="shared" ref="D12:D17" si="0">-PMT($B$8,$B$9,C12)*B12</f>
        <v>19851.761904738945</v>
      </c>
      <c r="E12" s="2">
        <f>10^(0.2525*LOG10(B4)^2 -1.5751*LOG10(B4) + 6.4671)*B12</f>
        <v>15160.577347884071</v>
      </c>
      <c r="F12" s="6">
        <f>+(D12+E12)/($B$4*$B$7)/365</f>
        <v>2.2051544167925059E-2</v>
      </c>
      <c r="G12" s="42"/>
      <c r="H12" s="1">
        <f>0.04*B12</f>
        <v>0.04</v>
      </c>
      <c r="I12" s="41">
        <f>+H12*$B$4*$B$7/24</f>
        <v>7.25</v>
      </c>
      <c r="J12">
        <f t="shared" ref="J12:J17" si="1">+I12*24*365*$B$10</f>
        <v>5385.6480000000001</v>
      </c>
    </row>
    <row r="13" spans="1:10" x14ac:dyDescent="0.25">
      <c r="A13" s="5" t="s">
        <v>56</v>
      </c>
      <c r="B13">
        <f>+Input!B21</f>
        <v>1</v>
      </c>
      <c r="C13" s="2">
        <f>10^(0.09188*LOG10($B$4)^2+0.01813*LOG10($B$4)+5.0066)*B13</f>
        <v>3191418.8456039117</v>
      </c>
      <c r="D13" s="2">
        <f t="shared" si="0"/>
        <v>195176.70276033808</v>
      </c>
      <c r="E13" s="2">
        <f>10^(0.0698*LOG10($B$4)^2+0.1977*LOG10($B$4)+3.4035)*B13</f>
        <v>184342.65145159001</v>
      </c>
      <c r="F13" s="6">
        <f>+(D13+E13)/($B$4*$B$7)/365</f>
        <v>0.23902966727251021</v>
      </c>
      <c r="G13" s="42"/>
      <c r="H13" s="1">
        <f>0.15*B13</f>
        <v>0.15</v>
      </c>
      <c r="I13" s="41">
        <f>+H13*$B$4*$B$7/24</f>
        <v>27.1875</v>
      </c>
      <c r="J13">
        <f t="shared" si="1"/>
        <v>20196.18</v>
      </c>
    </row>
    <row r="14" spans="1:10" x14ac:dyDescent="0.25">
      <c r="A14" s="5" t="s">
        <v>57</v>
      </c>
      <c r="B14">
        <f>+Input!B22</f>
        <v>1</v>
      </c>
      <c r="C14" s="2">
        <f>10^(0.055*LOG10($B$4)^2+0.2928*LOG10($B$4)+3.5368)*B14</f>
        <v>349849.20710084925</v>
      </c>
      <c r="D14" s="2">
        <f t="shared" si="0"/>
        <v>21395.629345022982</v>
      </c>
      <c r="E14" s="2">
        <f>10^(0.0146*LOG10($B$4)^2+0.3355*LOG10($B$4)+3.0037)*B14</f>
        <v>35644.946203897569</v>
      </c>
      <c r="F14" s="6">
        <f>+(D14+E14)/($B$4*$B$7)/365</f>
        <v>3.5925413666459169E-2</v>
      </c>
      <c r="H14" s="1">
        <f>0.035*B14</f>
        <v>3.5000000000000003E-2</v>
      </c>
      <c r="I14" s="41">
        <f>+H14*$B$4*$B$7/24</f>
        <v>6.3437500000000009</v>
      </c>
      <c r="J14">
        <f t="shared" si="1"/>
        <v>4712.4420000000009</v>
      </c>
    </row>
    <row r="15" spans="1:10" x14ac:dyDescent="0.25">
      <c r="A15" s="5" t="s">
        <v>58</v>
      </c>
      <c r="B15">
        <f>+Input!B23</f>
        <v>1</v>
      </c>
      <c r="C15" s="2">
        <f>10^(0.0957*LOG10($B$4)^2+0.0825*LOG10($B$4)+4.5138)*B15</f>
        <v>2108901.7207054184</v>
      </c>
      <c r="D15" s="2">
        <f t="shared" si="0"/>
        <v>128973.50808712115</v>
      </c>
      <c r="E15" s="2">
        <f>10^(0.0701*LOG10($B$4)^2+0.2704*LOG10($B$4)+3.3515)*B15</f>
        <v>319657.44439409656</v>
      </c>
      <c r="F15" s="6">
        <f>+(D15+E15)/($B$4*$B$7)/365</f>
        <v>0.28255767751926797</v>
      </c>
      <c r="H15" s="1">
        <f>1*B15</f>
        <v>1</v>
      </c>
      <c r="I15" s="41">
        <f>+H15*$B$4*$B$7/24</f>
        <v>181.25</v>
      </c>
      <c r="J15">
        <f t="shared" si="1"/>
        <v>134641.20000000001</v>
      </c>
    </row>
    <row r="16" spans="1:10" x14ac:dyDescent="0.25">
      <c r="A16" s="5" t="s">
        <v>59</v>
      </c>
      <c r="B16">
        <f>+Input!B24</f>
        <v>1</v>
      </c>
      <c r="C16" s="2">
        <f>10^(0.0255*LOG10($B$6)^2+0.568*LOG10($B$6)+3.6987)*B16</f>
        <v>1635337.8458437873</v>
      </c>
      <c r="D16" s="2">
        <f t="shared" si="0"/>
        <v>100011.8956778881</v>
      </c>
      <c r="E16" s="2">
        <f>10^(0.0015*LOG10($B$6)^2+0.5343*LOG10($B$6)+3.4657)*B16</f>
        <v>323076.97771000041</v>
      </c>
      <c r="F16" s="6">
        <f>+(D16+E16)/($B$6*$B$7)/365</f>
        <v>0.38067244608308121</v>
      </c>
      <c r="H16" s="1">
        <f>0.04*B16</f>
        <v>0.04</v>
      </c>
      <c r="I16" s="41">
        <f>+H16*B6*$B$7/24</f>
        <v>5.0750000000000002</v>
      </c>
      <c r="J16">
        <f t="shared" si="1"/>
        <v>3769.9536000000007</v>
      </c>
    </row>
    <row r="17" spans="1:10" x14ac:dyDescent="0.25">
      <c r="A17" s="7" t="s">
        <v>60</v>
      </c>
      <c r="B17" s="28">
        <f>+Input!B25</f>
        <v>1</v>
      </c>
      <c r="C17" s="8">
        <f>10^(0.0753*LOG10($B$6)^2-0.0052*LOG10($B$6)+5.1189)*B17</f>
        <v>1505797.5714355742</v>
      </c>
      <c r="D17" s="8">
        <f t="shared" si="0"/>
        <v>92089.637630032244</v>
      </c>
      <c r="E17" s="8">
        <f>10^(0.2543*LOG10($B$6)^2-1.5575*LOG10($B$6)+7.3879)*B17</f>
        <v>136703.89547354655</v>
      </c>
      <c r="F17" s="9">
        <f>+(D17+E17)/($B$6*$B$7)/365</f>
        <v>0.20585602546602677</v>
      </c>
      <c r="H17" s="43">
        <f>0.15*B17</f>
        <v>0.15</v>
      </c>
      <c r="I17" s="44">
        <f>+H17*B6*$B$7/24</f>
        <v>19.03125</v>
      </c>
      <c r="J17" s="28">
        <f t="shared" si="1"/>
        <v>14137.326000000001</v>
      </c>
    </row>
    <row r="18" spans="1:10" x14ac:dyDescent="0.25">
      <c r="C18" s="2">
        <f>SUM(C12:C17)</f>
        <v>9115909.9522476923</v>
      </c>
      <c r="E18" s="2">
        <f>SUM(E12:E17)</f>
        <v>1014586.4925810152</v>
      </c>
      <c r="F18" s="10">
        <f>SUM(F12:F17)</f>
        <v>1.1660927741752705</v>
      </c>
      <c r="H18" s="47">
        <f>SUM(H12:H17)</f>
        <v>1.415</v>
      </c>
      <c r="I18" s="45">
        <f>SUM(I12:I17)</f>
        <v>246.13749999999999</v>
      </c>
      <c r="J18" s="45">
        <f>SUM(J12:J17)</f>
        <v>182842.74960000004</v>
      </c>
    </row>
    <row r="19" spans="1:10" x14ac:dyDescent="0.25">
      <c r="B19" s="2"/>
      <c r="D19" s="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B6"/>
  <sheetViews>
    <sheetView zoomScaleNormal="100" workbookViewId="0">
      <selection activeCell="B5" sqref="B5"/>
    </sheetView>
  </sheetViews>
  <sheetFormatPr baseColWidth="10" defaultRowHeight="15" x14ac:dyDescent="0.25"/>
  <cols>
    <col min="1" max="1" width="23" customWidth="1"/>
  </cols>
  <sheetData>
    <row r="2" spans="1:2" x14ac:dyDescent="0.25">
      <c r="A2" t="s">
        <v>250</v>
      </c>
      <c r="B2">
        <v>12.6</v>
      </c>
    </row>
    <row r="3" spans="1:2" x14ac:dyDescent="0.25">
      <c r="A3" t="s">
        <v>247</v>
      </c>
      <c r="B3" t="str">
        <f>+Input!B12</f>
        <v>8.700</v>
      </c>
    </row>
    <row r="4" spans="1:2" x14ac:dyDescent="0.25">
      <c r="A4" t="s">
        <v>248</v>
      </c>
      <c r="B4" t="str">
        <f>+Input!B16</f>
        <v>163</v>
      </c>
    </row>
    <row r="5" spans="1:2" x14ac:dyDescent="0.25">
      <c r="A5" t="s">
        <v>249</v>
      </c>
      <c r="B5" s="1">
        <f>(B3+B4*3600*24)/B3</f>
        <v>1619.7586206896551</v>
      </c>
    </row>
    <row r="6" spans="1:2" x14ac:dyDescent="0.25">
      <c r="A6" t="s">
        <v>251</v>
      </c>
      <c r="B6" s="39">
        <f>+B2/B5</f>
        <v>7.7789368360547551E-3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AN85"/>
  <sheetViews>
    <sheetView zoomScale="70" zoomScaleNormal="70" workbookViewId="0">
      <pane xSplit="2" ySplit="2" topLeftCell="C56" activePane="bottomRight" state="frozen"/>
      <selection pane="topRight" activeCell="C1" sqref="C1"/>
      <selection pane="bottomLeft" activeCell="A3" sqref="A3"/>
      <selection pane="bottomRight" activeCell="H84" sqref="H84"/>
    </sheetView>
  </sheetViews>
  <sheetFormatPr baseColWidth="10" defaultRowHeight="15" x14ac:dyDescent="0.25"/>
  <cols>
    <col min="1" max="1" width="6.42578125" customWidth="1"/>
    <col min="2" max="2" width="32.5703125" customWidth="1"/>
    <col min="3" max="3" width="17.85546875" customWidth="1"/>
    <col min="4" max="4" width="17.42578125" customWidth="1"/>
    <col min="5" max="11" width="6.85546875" bestFit="1" customWidth="1"/>
    <col min="12" max="12" width="5.28515625" customWidth="1"/>
    <col min="13" max="17" width="6.85546875" bestFit="1" customWidth="1"/>
    <col min="18" max="18" width="5.28515625" customWidth="1"/>
    <col min="19" max="19" width="6.85546875" bestFit="1" customWidth="1"/>
    <col min="20" max="23" width="5.28515625" customWidth="1"/>
    <col min="24" max="24" width="6.85546875" bestFit="1" customWidth="1"/>
    <col min="25" max="25" width="5.28515625" customWidth="1"/>
    <col min="26" max="32" width="6.85546875" bestFit="1" customWidth="1"/>
    <col min="34" max="34" width="11.42578125" style="17"/>
  </cols>
  <sheetData>
    <row r="1" spans="1:40" x14ac:dyDescent="0.2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</row>
    <row r="2" spans="1:40" ht="75" x14ac:dyDescent="0.25">
      <c r="A2" s="18" t="s">
        <v>74</v>
      </c>
      <c r="B2" s="19" t="s">
        <v>75</v>
      </c>
      <c r="C2" s="20" t="s">
        <v>76</v>
      </c>
      <c r="D2" s="20" t="s">
        <v>77</v>
      </c>
      <c r="E2" s="21" t="s">
        <v>11</v>
      </c>
      <c r="F2" s="21" t="s">
        <v>12</v>
      </c>
      <c r="G2" s="21" t="s">
        <v>13</v>
      </c>
      <c r="H2" s="21" t="s">
        <v>14</v>
      </c>
      <c r="I2" s="21" t="s">
        <v>15</v>
      </c>
      <c r="J2" s="21" t="s">
        <v>16</v>
      </c>
      <c r="K2" s="21" t="s">
        <v>17</v>
      </c>
      <c r="L2" s="22" t="s">
        <v>18</v>
      </c>
      <c r="M2" s="21" t="s">
        <v>19</v>
      </c>
      <c r="N2" s="21" t="s">
        <v>20</v>
      </c>
      <c r="O2" s="21" t="s">
        <v>21</v>
      </c>
      <c r="P2" s="21" t="s">
        <v>22</v>
      </c>
      <c r="Q2" s="21" t="s">
        <v>23</v>
      </c>
      <c r="R2" s="22" t="s">
        <v>24</v>
      </c>
      <c r="S2" s="21" t="s">
        <v>25</v>
      </c>
      <c r="T2" s="22" t="s">
        <v>26</v>
      </c>
      <c r="U2" s="22" t="s">
        <v>27</v>
      </c>
      <c r="V2" s="22" t="s">
        <v>28</v>
      </c>
      <c r="W2" s="22" t="s">
        <v>29</v>
      </c>
      <c r="X2" s="21" t="s">
        <v>30</v>
      </c>
      <c r="Y2" s="22" t="s">
        <v>31</v>
      </c>
      <c r="Z2" s="21" t="s">
        <v>32</v>
      </c>
      <c r="AA2" s="21" t="s">
        <v>33</v>
      </c>
      <c r="AB2" s="21" t="s">
        <v>34</v>
      </c>
      <c r="AC2" s="21" t="s">
        <v>35</v>
      </c>
      <c r="AD2" s="21" t="s">
        <v>72</v>
      </c>
      <c r="AE2" s="21" t="s">
        <v>36</v>
      </c>
      <c r="AF2" s="21" t="s">
        <v>78</v>
      </c>
      <c r="AI2" t="s">
        <v>79</v>
      </c>
      <c r="AJ2" t="s">
        <v>80</v>
      </c>
      <c r="AK2" t="s">
        <v>81</v>
      </c>
    </row>
    <row r="3" spans="1:40" x14ac:dyDescent="0.25">
      <c r="A3" s="18">
        <v>1</v>
      </c>
      <c r="B3" s="23">
        <v>50</v>
      </c>
      <c r="C3" s="23" t="s">
        <v>82</v>
      </c>
      <c r="D3" s="23" t="s">
        <v>83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I3">
        <f>COUNTIF(E3:AF3,$AI$2)</f>
        <v>0</v>
      </c>
      <c r="AJ3">
        <f>COUNTIF(F3:AH3,$AJ$2)</f>
        <v>0</v>
      </c>
      <c r="AK3">
        <f>+AI3+AJ3</f>
        <v>0</v>
      </c>
    </row>
    <row r="4" spans="1:40" x14ac:dyDescent="0.25">
      <c r="A4" s="18">
        <v>2</v>
      </c>
      <c r="B4" s="23" t="s">
        <v>84</v>
      </c>
      <c r="C4" s="23" t="s">
        <v>82</v>
      </c>
      <c r="D4" s="23" t="s">
        <v>85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I4">
        <f t="shared" ref="AI4:AI67" si="0">COUNTIF(E4:AF4,$AI$2)</f>
        <v>0</v>
      </c>
      <c r="AJ4">
        <f t="shared" ref="AJ4:AJ67" si="1">COUNTIF(F4:AH4,$AJ$2)</f>
        <v>0</v>
      </c>
      <c r="AK4">
        <f t="shared" ref="AK4:AK67" si="2">+AI4+AJ4</f>
        <v>0</v>
      </c>
    </row>
    <row r="5" spans="1:40" x14ac:dyDescent="0.25">
      <c r="A5" s="18">
        <v>3</v>
      </c>
      <c r="B5" s="23" t="s">
        <v>86</v>
      </c>
      <c r="C5" s="23" t="s">
        <v>82</v>
      </c>
      <c r="D5" s="23" t="s">
        <v>87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I5">
        <f t="shared" si="0"/>
        <v>0</v>
      </c>
      <c r="AJ5">
        <f t="shared" si="1"/>
        <v>0</v>
      </c>
      <c r="AK5">
        <f t="shared" si="2"/>
        <v>0</v>
      </c>
    </row>
    <row r="6" spans="1:40" x14ac:dyDescent="0.25">
      <c r="A6" s="18">
        <v>4</v>
      </c>
      <c r="B6" s="23" t="s">
        <v>88</v>
      </c>
      <c r="C6" s="23" t="s">
        <v>82</v>
      </c>
      <c r="D6" s="23" t="s">
        <v>89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I6">
        <f t="shared" si="0"/>
        <v>0</v>
      </c>
      <c r="AJ6">
        <f t="shared" si="1"/>
        <v>0</v>
      </c>
      <c r="AK6">
        <f t="shared" si="2"/>
        <v>0</v>
      </c>
    </row>
    <row r="7" spans="1:40" x14ac:dyDescent="0.25">
      <c r="A7" s="18">
        <v>5</v>
      </c>
      <c r="B7" s="23" t="s">
        <v>90</v>
      </c>
      <c r="C7" s="23" t="s">
        <v>82</v>
      </c>
      <c r="D7" s="23" t="s">
        <v>91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I7">
        <f t="shared" si="0"/>
        <v>0</v>
      </c>
      <c r="AJ7">
        <f t="shared" si="1"/>
        <v>0</v>
      </c>
      <c r="AK7">
        <f t="shared" si="2"/>
        <v>0</v>
      </c>
    </row>
    <row r="8" spans="1:40" x14ac:dyDescent="0.25">
      <c r="A8" s="18">
        <v>6</v>
      </c>
      <c r="B8" s="23" t="s">
        <v>92</v>
      </c>
      <c r="C8" s="23" t="s">
        <v>82</v>
      </c>
      <c r="D8" s="23" t="s">
        <v>93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I8">
        <f t="shared" si="0"/>
        <v>0</v>
      </c>
      <c r="AJ8">
        <f t="shared" si="1"/>
        <v>0</v>
      </c>
      <c r="AK8">
        <f t="shared" si="2"/>
        <v>0</v>
      </c>
    </row>
    <row r="9" spans="1:40" x14ac:dyDescent="0.25">
      <c r="A9" s="18" t="s">
        <v>94</v>
      </c>
      <c r="B9" s="24" t="s">
        <v>95</v>
      </c>
      <c r="C9" t="s">
        <v>82</v>
      </c>
      <c r="D9" t="s">
        <v>96</v>
      </c>
      <c r="E9" t="s">
        <v>80</v>
      </c>
      <c r="F9" t="s">
        <v>79</v>
      </c>
      <c r="G9" t="s">
        <v>80</v>
      </c>
      <c r="H9" t="s">
        <v>80</v>
      </c>
      <c r="I9" t="s">
        <v>80</v>
      </c>
      <c r="J9" t="s">
        <v>80</v>
      </c>
      <c r="K9" t="s">
        <v>97</v>
      </c>
      <c r="L9" s="23" t="s">
        <v>97</v>
      </c>
      <c r="M9" t="s">
        <v>97</v>
      </c>
      <c r="N9" t="s">
        <v>79</v>
      </c>
      <c r="O9" t="s">
        <v>79</v>
      </c>
      <c r="P9" t="s">
        <v>97</v>
      </c>
      <c r="Q9" t="s">
        <v>80</v>
      </c>
      <c r="R9" s="23" t="s">
        <v>97</v>
      </c>
      <c r="S9" t="s">
        <v>97</v>
      </c>
      <c r="T9" s="23" t="s">
        <v>97</v>
      </c>
      <c r="U9" s="23" t="s">
        <v>97</v>
      </c>
      <c r="V9" s="23" t="s">
        <v>97</v>
      </c>
      <c r="W9" s="23" t="s">
        <v>97</v>
      </c>
      <c r="X9" t="s">
        <v>79</v>
      </c>
      <c r="Y9" s="23" t="s">
        <v>97</v>
      </c>
      <c r="Z9" t="s">
        <v>97</v>
      </c>
      <c r="AA9" t="s">
        <v>80</v>
      </c>
      <c r="AB9" t="s">
        <v>79</v>
      </c>
      <c r="AC9" t="s">
        <v>97</v>
      </c>
      <c r="AD9" t="s">
        <v>97</v>
      </c>
      <c r="AE9" t="s">
        <v>97</v>
      </c>
      <c r="AF9" t="s">
        <v>97</v>
      </c>
      <c r="AI9">
        <f t="shared" si="0"/>
        <v>5</v>
      </c>
      <c r="AJ9">
        <f t="shared" si="1"/>
        <v>6</v>
      </c>
      <c r="AK9">
        <f t="shared" si="2"/>
        <v>11</v>
      </c>
      <c r="AN9" t="str">
        <f>HLOOKUP(Input!$B$3,MCA_5!$E$2:$AF$76,8)</f>
        <v>ENEC</v>
      </c>
    </row>
    <row r="10" spans="1:40" x14ac:dyDescent="0.25">
      <c r="A10" s="18">
        <v>7</v>
      </c>
      <c r="B10" s="23" t="s">
        <v>98</v>
      </c>
      <c r="C10" s="23" t="s">
        <v>82</v>
      </c>
      <c r="D10" s="23" t="s">
        <v>99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I10">
        <f t="shared" si="0"/>
        <v>0</v>
      </c>
      <c r="AJ10">
        <f t="shared" si="1"/>
        <v>0</v>
      </c>
      <c r="AK10">
        <f t="shared" si="2"/>
        <v>0</v>
      </c>
    </row>
    <row r="11" spans="1:40" x14ac:dyDescent="0.25">
      <c r="A11" s="18">
        <v>8</v>
      </c>
      <c r="B11" s="23" t="s">
        <v>100</v>
      </c>
      <c r="C11" s="23" t="s">
        <v>82</v>
      </c>
      <c r="D11" s="23" t="s">
        <v>101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I11">
        <f t="shared" si="0"/>
        <v>0</v>
      </c>
      <c r="AJ11">
        <f t="shared" si="1"/>
        <v>0</v>
      </c>
      <c r="AK11">
        <f t="shared" si="2"/>
        <v>0</v>
      </c>
    </row>
    <row r="12" spans="1:40" x14ac:dyDescent="0.25">
      <c r="A12" s="18">
        <v>9</v>
      </c>
      <c r="B12" t="s">
        <v>102</v>
      </c>
      <c r="C12" t="s">
        <v>82</v>
      </c>
      <c r="D12" t="s">
        <v>103</v>
      </c>
      <c r="E12" t="s">
        <v>97</v>
      </c>
      <c r="F12" t="s">
        <v>97</v>
      </c>
      <c r="G12" t="s">
        <v>97</v>
      </c>
      <c r="H12" t="s">
        <v>97</v>
      </c>
      <c r="I12" t="s">
        <v>97</v>
      </c>
      <c r="J12" t="s">
        <v>97</v>
      </c>
      <c r="K12" t="s">
        <v>97</v>
      </c>
      <c r="L12" s="23" t="s">
        <v>97</v>
      </c>
      <c r="M12" t="s">
        <v>97</v>
      </c>
      <c r="N12" t="s">
        <v>97</v>
      </c>
      <c r="O12" t="s">
        <v>97</v>
      </c>
      <c r="P12" t="s">
        <v>97</v>
      </c>
      <c r="Q12" t="s">
        <v>97</v>
      </c>
      <c r="R12" s="23" t="s">
        <v>97</v>
      </c>
      <c r="S12" t="s">
        <v>97</v>
      </c>
      <c r="T12" s="23" t="s">
        <v>97</v>
      </c>
      <c r="U12" s="23" t="s">
        <v>97</v>
      </c>
      <c r="V12" s="23" t="s">
        <v>97</v>
      </c>
      <c r="W12" s="23" t="s">
        <v>97</v>
      </c>
      <c r="X12" t="s">
        <v>97</v>
      </c>
      <c r="Y12" s="23" t="s">
        <v>97</v>
      </c>
      <c r="Z12" t="s">
        <v>97</v>
      </c>
      <c r="AA12" t="s">
        <v>97</v>
      </c>
      <c r="AB12" t="s">
        <v>97</v>
      </c>
      <c r="AC12" t="s">
        <v>97</v>
      </c>
      <c r="AD12" t="s">
        <v>97</v>
      </c>
      <c r="AE12" t="s">
        <v>97</v>
      </c>
      <c r="AF12" t="s">
        <v>97</v>
      </c>
      <c r="AI12">
        <f t="shared" si="0"/>
        <v>0</v>
      </c>
      <c r="AJ12">
        <f t="shared" si="1"/>
        <v>0</v>
      </c>
      <c r="AK12">
        <f t="shared" si="2"/>
        <v>0</v>
      </c>
      <c r="AN12" t="str">
        <f>HLOOKUP(Input!$B$3,MCA_5!$E$2:$AF$76,11)</f>
        <v>NA</v>
      </c>
    </row>
    <row r="13" spans="1:40" x14ac:dyDescent="0.25">
      <c r="A13" s="18" t="s">
        <v>104</v>
      </c>
      <c r="B13" s="23" t="s">
        <v>105</v>
      </c>
      <c r="C13" s="23" t="s">
        <v>82</v>
      </c>
      <c r="D13" s="23" t="s">
        <v>106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I13">
        <f t="shared" si="0"/>
        <v>0</v>
      </c>
      <c r="AJ13">
        <f t="shared" si="1"/>
        <v>0</v>
      </c>
      <c r="AK13">
        <f t="shared" si="2"/>
        <v>0</v>
      </c>
    </row>
    <row r="14" spans="1:40" x14ac:dyDescent="0.25">
      <c r="A14" s="18" t="s">
        <v>107</v>
      </c>
      <c r="B14" s="23" t="s">
        <v>108</v>
      </c>
      <c r="C14" s="23" t="s">
        <v>82</v>
      </c>
      <c r="D14" s="23" t="s">
        <v>109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I14">
        <f t="shared" si="0"/>
        <v>0</v>
      </c>
      <c r="AJ14">
        <f t="shared" si="1"/>
        <v>0</v>
      </c>
      <c r="AK14">
        <f t="shared" si="2"/>
        <v>0</v>
      </c>
    </row>
    <row r="15" spans="1:40" x14ac:dyDescent="0.25">
      <c r="A15" s="18" t="s">
        <v>110</v>
      </c>
      <c r="B15" s="23" t="s">
        <v>111</v>
      </c>
      <c r="C15" s="23" t="s">
        <v>82</v>
      </c>
      <c r="D15" s="23" t="s">
        <v>112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I15">
        <f t="shared" si="0"/>
        <v>0</v>
      </c>
      <c r="AJ15">
        <f t="shared" si="1"/>
        <v>0</v>
      </c>
      <c r="AK15">
        <f t="shared" si="2"/>
        <v>0</v>
      </c>
    </row>
    <row r="16" spans="1:40" x14ac:dyDescent="0.25">
      <c r="A16" s="18">
        <v>10</v>
      </c>
      <c r="B16" s="23" t="s">
        <v>113</v>
      </c>
      <c r="C16" s="23" t="s">
        <v>82</v>
      </c>
      <c r="D16" s="23" t="s">
        <v>114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I16">
        <f t="shared" si="0"/>
        <v>0</v>
      </c>
      <c r="AJ16">
        <f t="shared" si="1"/>
        <v>0</v>
      </c>
      <c r="AK16">
        <f t="shared" si="2"/>
        <v>0</v>
      </c>
    </row>
    <row r="17" spans="1:40" x14ac:dyDescent="0.25">
      <c r="A17" s="18">
        <v>11</v>
      </c>
      <c r="B17" s="23" t="s">
        <v>115</v>
      </c>
      <c r="C17" s="23" t="s">
        <v>82</v>
      </c>
      <c r="D17" s="23" t="s">
        <v>116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I17">
        <f t="shared" si="0"/>
        <v>0</v>
      </c>
      <c r="AJ17">
        <f t="shared" si="1"/>
        <v>0</v>
      </c>
      <c r="AK17">
        <f t="shared" si="2"/>
        <v>0</v>
      </c>
    </row>
    <row r="18" spans="1:40" x14ac:dyDescent="0.25">
      <c r="A18" s="18">
        <v>12</v>
      </c>
      <c r="B18" s="23" t="s">
        <v>117</v>
      </c>
      <c r="C18" s="23" t="s">
        <v>82</v>
      </c>
      <c r="D18" s="23" t="s">
        <v>118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I18">
        <f t="shared" si="0"/>
        <v>0</v>
      </c>
      <c r="AJ18">
        <f t="shared" si="1"/>
        <v>0</v>
      </c>
      <c r="AK18">
        <f t="shared" si="2"/>
        <v>0</v>
      </c>
    </row>
    <row r="19" spans="1:40" x14ac:dyDescent="0.25">
      <c r="A19" s="18">
        <v>13</v>
      </c>
      <c r="B19" t="s">
        <v>119</v>
      </c>
      <c r="C19" t="s">
        <v>82</v>
      </c>
      <c r="D19" t="s">
        <v>120</v>
      </c>
      <c r="E19" t="s">
        <v>79</v>
      </c>
      <c r="F19" t="s">
        <v>97</v>
      </c>
      <c r="G19" t="s">
        <v>79</v>
      </c>
      <c r="H19" t="s">
        <v>79</v>
      </c>
      <c r="I19" t="s">
        <v>97</v>
      </c>
      <c r="J19" t="s">
        <v>97</v>
      </c>
      <c r="K19" t="s">
        <v>97</v>
      </c>
      <c r="L19" s="23" t="s">
        <v>97</v>
      </c>
      <c r="M19" t="s">
        <v>97</v>
      </c>
      <c r="N19" t="s">
        <v>79</v>
      </c>
      <c r="O19" t="s">
        <v>79</v>
      </c>
      <c r="P19" t="s">
        <v>97</v>
      </c>
      <c r="Q19" t="s">
        <v>79</v>
      </c>
      <c r="R19" s="23" t="s">
        <v>97</v>
      </c>
      <c r="S19" t="s">
        <v>97</v>
      </c>
      <c r="T19" s="23" t="s">
        <v>97</v>
      </c>
      <c r="U19" s="23" t="s">
        <v>97</v>
      </c>
      <c r="V19" s="23" t="s">
        <v>97</v>
      </c>
      <c r="W19" s="23" t="s">
        <v>97</v>
      </c>
      <c r="X19" t="s">
        <v>79</v>
      </c>
      <c r="Y19" s="23" t="s">
        <v>97</v>
      </c>
      <c r="Z19" t="s">
        <v>97</v>
      </c>
      <c r="AA19" t="s">
        <v>79</v>
      </c>
      <c r="AB19" t="s">
        <v>79</v>
      </c>
      <c r="AC19" t="s">
        <v>97</v>
      </c>
      <c r="AD19" t="s">
        <v>97</v>
      </c>
      <c r="AE19" t="s">
        <v>79</v>
      </c>
      <c r="AF19" t="s">
        <v>97</v>
      </c>
      <c r="AI19">
        <f t="shared" si="0"/>
        <v>10</v>
      </c>
      <c r="AJ19">
        <f t="shared" si="1"/>
        <v>0</v>
      </c>
      <c r="AK19">
        <f t="shared" si="2"/>
        <v>10</v>
      </c>
      <c r="AN19" t="str">
        <f>HLOOKUP(Input!$B$3,MCA_5!$E$2:$AF$76,18)</f>
        <v>DERC</v>
      </c>
    </row>
    <row r="20" spans="1:40" x14ac:dyDescent="0.25">
      <c r="A20" s="18">
        <v>14</v>
      </c>
      <c r="B20" s="23" t="s">
        <v>121</v>
      </c>
      <c r="C20" s="23" t="s">
        <v>82</v>
      </c>
      <c r="D20" s="23" t="s">
        <v>122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I20">
        <f t="shared" si="0"/>
        <v>0</v>
      </c>
      <c r="AJ20">
        <f t="shared" si="1"/>
        <v>0</v>
      </c>
      <c r="AK20">
        <f t="shared" si="2"/>
        <v>0</v>
      </c>
    </row>
    <row r="21" spans="1:40" x14ac:dyDescent="0.25">
      <c r="A21" s="18">
        <v>15</v>
      </c>
      <c r="B21" s="23" t="s">
        <v>123</v>
      </c>
      <c r="C21" s="23" t="s">
        <v>82</v>
      </c>
      <c r="D21" s="23" t="s">
        <v>124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I21">
        <f t="shared" si="0"/>
        <v>0</v>
      </c>
      <c r="AJ21">
        <f t="shared" si="1"/>
        <v>0</v>
      </c>
      <c r="AK21">
        <f t="shared" si="2"/>
        <v>0</v>
      </c>
    </row>
    <row r="22" spans="1:40" x14ac:dyDescent="0.25">
      <c r="A22" s="18">
        <v>16</v>
      </c>
      <c r="B22" s="23" t="s">
        <v>125</v>
      </c>
      <c r="C22" s="23" t="s">
        <v>82</v>
      </c>
      <c r="D22" s="23" t="s">
        <v>126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I22">
        <f t="shared" si="0"/>
        <v>0</v>
      </c>
      <c r="AJ22">
        <f t="shared" si="1"/>
        <v>0</v>
      </c>
      <c r="AK22">
        <f t="shared" si="2"/>
        <v>0</v>
      </c>
    </row>
    <row r="23" spans="1:40" x14ac:dyDescent="0.25">
      <c r="A23" s="18">
        <v>17</v>
      </c>
      <c r="B23" s="23" t="s">
        <v>127</v>
      </c>
      <c r="C23" s="23" t="s">
        <v>82</v>
      </c>
      <c r="D23" s="23" t="s">
        <v>128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I23">
        <f t="shared" si="0"/>
        <v>0</v>
      </c>
      <c r="AJ23">
        <f t="shared" si="1"/>
        <v>0</v>
      </c>
      <c r="AK23">
        <f t="shared" si="2"/>
        <v>0</v>
      </c>
    </row>
    <row r="24" spans="1:40" x14ac:dyDescent="0.25">
      <c r="A24" s="18">
        <v>18</v>
      </c>
      <c r="B24" s="23" t="s">
        <v>129</v>
      </c>
      <c r="C24" s="23" t="s">
        <v>82</v>
      </c>
      <c r="D24" s="23" t="s">
        <v>130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I24">
        <f t="shared" si="0"/>
        <v>0</v>
      </c>
      <c r="AJ24">
        <f t="shared" si="1"/>
        <v>0</v>
      </c>
      <c r="AK24">
        <f t="shared" si="2"/>
        <v>0</v>
      </c>
    </row>
    <row r="25" spans="1:40" x14ac:dyDescent="0.25">
      <c r="A25" s="18">
        <v>19</v>
      </c>
      <c r="B25" t="s">
        <v>131</v>
      </c>
      <c r="C25" t="s">
        <v>82</v>
      </c>
      <c r="D25" t="s">
        <v>132</v>
      </c>
      <c r="E25" t="s">
        <v>79</v>
      </c>
      <c r="F25" t="s">
        <v>97</v>
      </c>
      <c r="G25" t="s">
        <v>79</v>
      </c>
      <c r="H25" t="s">
        <v>79</v>
      </c>
      <c r="I25" t="s">
        <v>97</v>
      </c>
      <c r="J25" t="s">
        <v>97</v>
      </c>
      <c r="K25" t="s">
        <v>97</v>
      </c>
      <c r="L25" s="23" t="s">
        <v>97</v>
      </c>
      <c r="M25" t="s">
        <v>97</v>
      </c>
      <c r="N25" t="s">
        <v>79</v>
      </c>
      <c r="O25" t="s">
        <v>79</v>
      </c>
      <c r="P25" t="s">
        <v>97</v>
      </c>
      <c r="Q25" t="s">
        <v>79</v>
      </c>
      <c r="R25" s="23" t="s">
        <v>97</v>
      </c>
      <c r="S25" t="s">
        <v>97</v>
      </c>
      <c r="T25" s="23" t="s">
        <v>97</v>
      </c>
      <c r="U25" s="23" t="s">
        <v>97</v>
      </c>
      <c r="V25" s="23" t="s">
        <v>97</v>
      </c>
      <c r="W25" s="23" t="s">
        <v>97</v>
      </c>
      <c r="X25" t="s">
        <v>79</v>
      </c>
      <c r="Y25" s="23" t="s">
        <v>97</v>
      </c>
      <c r="Z25" t="s">
        <v>97</v>
      </c>
      <c r="AA25" t="s">
        <v>79</v>
      </c>
      <c r="AB25" t="s">
        <v>79</v>
      </c>
      <c r="AC25" t="s">
        <v>97</v>
      </c>
      <c r="AD25" t="s">
        <v>97</v>
      </c>
      <c r="AE25" t="s">
        <v>79</v>
      </c>
      <c r="AF25" t="s">
        <v>97</v>
      </c>
      <c r="AI25">
        <f t="shared" si="0"/>
        <v>10</v>
      </c>
      <c r="AJ25">
        <f t="shared" si="1"/>
        <v>0</v>
      </c>
      <c r="AK25">
        <f t="shared" si="2"/>
        <v>10</v>
      </c>
      <c r="AN25" t="str">
        <f>HLOOKUP(Input!$B$3,MCA_5!$E$2:$AF$76,24)</f>
        <v>DERC</v>
      </c>
    </row>
    <row r="26" spans="1:40" x14ac:dyDescent="0.25">
      <c r="A26" s="18">
        <v>20</v>
      </c>
      <c r="B26" s="23" t="s">
        <v>133</v>
      </c>
      <c r="C26" s="23" t="s">
        <v>82</v>
      </c>
      <c r="D26" s="23" t="s">
        <v>134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I26">
        <f t="shared" si="0"/>
        <v>0</v>
      </c>
      <c r="AJ26">
        <f t="shared" si="1"/>
        <v>0</v>
      </c>
      <c r="AK26">
        <f t="shared" si="2"/>
        <v>0</v>
      </c>
    </row>
    <row r="27" spans="1:40" x14ac:dyDescent="0.25">
      <c r="A27" s="18">
        <v>21</v>
      </c>
      <c r="B27" s="23" t="s">
        <v>135</v>
      </c>
      <c r="C27" s="23" t="s">
        <v>82</v>
      </c>
      <c r="D27" s="23" t="s">
        <v>136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I27">
        <f t="shared" si="0"/>
        <v>0</v>
      </c>
      <c r="AJ27">
        <f t="shared" si="1"/>
        <v>0</v>
      </c>
      <c r="AK27">
        <f t="shared" si="2"/>
        <v>0</v>
      </c>
    </row>
    <row r="28" spans="1:40" x14ac:dyDescent="0.25">
      <c r="A28" s="18">
        <v>22</v>
      </c>
      <c r="B28" s="23" t="s">
        <v>137</v>
      </c>
      <c r="C28" s="23" t="s">
        <v>82</v>
      </c>
      <c r="D28" s="23" t="s">
        <v>138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I28">
        <f t="shared" si="0"/>
        <v>0</v>
      </c>
      <c r="AJ28">
        <f t="shared" si="1"/>
        <v>0</v>
      </c>
      <c r="AK28">
        <f t="shared" si="2"/>
        <v>0</v>
      </c>
    </row>
    <row r="29" spans="1:40" x14ac:dyDescent="0.25">
      <c r="A29" s="18">
        <v>23</v>
      </c>
      <c r="B29" s="23" t="s">
        <v>139</v>
      </c>
      <c r="C29" s="23" t="s">
        <v>82</v>
      </c>
      <c r="D29" s="23" t="s">
        <v>140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I29">
        <f t="shared" si="0"/>
        <v>0</v>
      </c>
      <c r="AJ29">
        <f t="shared" si="1"/>
        <v>0</v>
      </c>
      <c r="AK29">
        <f t="shared" si="2"/>
        <v>0</v>
      </c>
    </row>
    <row r="30" spans="1:40" x14ac:dyDescent="0.25">
      <c r="A30" s="18">
        <v>24</v>
      </c>
      <c r="B30" s="23" t="s">
        <v>141</v>
      </c>
      <c r="C30" s="23" t="s">
        <v>82</v>
      </c>
      <c r="D30" s="23" t="s">
        <v>142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I30">
        <f t="shared" si="0"/>
        <v>0</v>
      </c>
      <c r="AJ30">
        <f t="shared" si="1"/>
        <v>0</v>
      </c>
      <c r="AK30">
        <f t="shared" si="2"/>
        <v>0</v>
      </c>
    </row>
    <row r="31" spans="1:40" x14ac:dyDescent="0.25">
      <c r="A31" s="18">
        <v>25</v>
      </c>
      <c r="B31" s="23" t="s">
        <v>143</v>
      </c>
      <c r="C31" s="23" t="s">
        <v>82</v>
      </c>
      <c r="D31" s="23" t="s">
        <v>144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I31">
        <f t="shared" si="0"/>
        <v>0</v>
      </c>
      <c r="AJ31">
        <f t="shared" si="1"/>
        <v>0</v>
      </c>
      <c r="AK31">
        <f t="shared" si="2"/>
        <v>0</v>
      </c>
    </row>
    <row r="32" spans="1:40" x14ac:dyDescent="0.25">
      <c r="A32" s="18">
        <v>26</v>
      </c>
      <c r="B32" s="25" t="s">
        <v>145</v>
      </c>
      <c r="C32" s="23" t="s">
        <v>82</v>
      </c>
      <c r="D32" s="23" t="s">
        <v>146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I32">
        <f t="shared" si="0"/>
        <v>0</v>
      </c>
      <c r="AJ32">
        <f t="shared" si="1"/>
        <v>0</v>
      </c>
      <c r="AK32">
        <f t="shared" si="2"/>
        <v>0</v>
      </c>
    </row>
    <row r="33" spans="1:40" x14ac:dyDescent="0.25">
      <c r="A33" s="18">
        <v>27</v>
      </c>
      <c r="B33" s="25" t="s">
        <v>147</v>
      </c>
      <c r="C33" s="23" t="s">
        <v>82</v>
      </c>
      <c r="D33" s="23" t="s">
        <v>148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I33">
        <f t="shared" si="0"/>
        <v>0</v>
      </c>
      <c r="AJ33">
        <f t="shared" si="1"/>
        <v>0</v>
      </c>
      <c r="AK33">
        <f t="shared" si="2"/>
        <v>0</v>
      </c>
    </row>
    <row r="34" spans="1:40" x14ac:dyDescent="0.25">
      <c r="A34" s="18">
        <v>28</v>
      </c>
      <c r="B34" s="23" t="s">
        <v>149</v>
      </c>
      <c r="C34" s="23" t="s">
        <v>82</v>
      </c>
      <c r="D34" s="23" t="s">
        <v>150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>
        <f t="shared" si="0"/>
        <v>0</v>
      </c>
      <c r="AJ34">
        <f t="shared" si="1"/>
        <v>0</v>
      </c>
      <c r="AK34">
        <f t="shared" si="2"/>
        <v>0</v>
      </c>
    </row>
    <row r="35" spans="1:40" x14ac:dyDescent="0.25">
      <c r="A35" s="18" t="s">
        <v>151</v>
      </c>
      <c r="B35" s="23" t="s">
        <v>152</v>
      </c>
      <c r="C35" s="23" t="s">
        <v>82</v>
      </c>
      <c r="D35" s="23" t="s">
        <v>153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I35">
        <f t="shared" si="0"/>
        <v>0</v>
      </c>
      <c r="AJ35">
        <f t="shared" si="1"/>
        <v>0</v>
      </c>
      <c r="AK35">
        <f t="shared" si="2"/>
        <v>0</v>
      </c>
    </row>
    <row r="36" spans="1:40" x14ac:dyDescent="0.25">
      <c r="A36" s="18" t="s">
        <v>154</v>
      </c>
      <c r="B36" s="23" t="s">
        <v>155</v>
      </c>
      <c r="C36" s="23" t="s">
        <v>82</v>
      </c>
      <c r="D36" s="23" t="s">
        <v>156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I36">
        <f t="shared" si="0"/>
        <v>0</v>
      </c>
      <c r="AJ36">
        <f t="shared" si="1"/>
        <v>0</v>
      </c>
      <c r="AK36">
        <f t="shared" si="2"/>
        <v>0</v>
      </c>
    </row>
    <row r="37" spans="1:40" x14ac:dyDescent="0.25">
      <c r="A37" s="18" t="s">
        <v>157</v>
      </c>
      <c r="B37" s="23" t="s">
        <v>158</v>
      </c>
      <c r="C37" s="23" t="s">
        <v>82</v>
      </c>
      <c r="D37" s="23" t="s">
        <v>159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I37">
        <f t="shared" si="0"/>
        <v>0</v>
      </c>
      <c r="AJ37">
        <f t="shared" si="1"/>
        <v>0</v>
      </c>
      <c r="AK37">
        <f t="shared" si="2"/>
        <v>0</v>
      </c>
    </row>
    <row r="38" spans="1:40" x14ac:dyDescent="0.25">
      <c r="A38" s="18" t="s">
        <v>160</v>
      </c>
      <c r="B38" s="23" t="s">
        <v>161</v>
      </c>
      <c r="C38" s="23" t="s">
        <v>82</v>
      </c>
      <c r="D38" s="23" t="s">
        <v>162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I38">
        <f t="shared" si="0"/>
        <v>0</v>
      </c>
      <c r="AJ38">
        <f t="shared" si="1"/>
        <v>0</v>
      </c>
      <c r="AK38">
        <f t="shared" si="2"/>
        <v>0</v>
      </c>
    </row>
    <row r="39" spans="1:40" x14ac:dyDescent="0.25">
      <c r="A39" s="18">
        <v>29</v>
      </c>
      <c r="B39" s="23" t="s">
        <v>163</v>
      </c>
      <c r="C39" s="23" t="s">
        <v>82</v>
      </c>
      <c r="D39" s="23" t="s">
        <v>164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>
        <f t="shared" si="0"/>
        <v>0</v>
      </c>
      <c r="AJ39">
        <f t="shared" si="1"/>
        <v>0</v>
      </c>
      <c r="AK39">
        <f t="shared" si="2"/>
        <v>0</v>
      </c>
    </row>
    <row r="40" spans="1:40" x14ac:dyDescent="0.25">
      <c r="A40" s="18" t="s">
        <v>165</v>
      </c>
      <c r="B40" s="25" t="s">
        <v>166</v>
      </c>
      <c r="C40" s="23" t="s">
        <v>82</v>
      </c>
      <c r="D40" s="23" t="s">
        <v>167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I40">
        <f t="shared" si="0"/>
        <v>0</v>
      </c>
      <c r="AJ40">
        <f t="shared" si="1"/>
        <v>0</v>
      </c>
      <c r="AK40">
        <f t="shared" si="2"/>
        <v>0</v>
      </c>
    </row>
    <row r="41" spans="1:40" x14ac:dyDescent="0.25">
      <c r="A41" s="18" t="s">
        <v>168</v>
      </c>
      <c r="B41" s="25" t="s">
        <v>169</v>
      </c>
      <c r="C41" s="23" t="s">
        <v>82</v>
      </c>
      <c r="D41" s="23" t="s">
        <v>170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I41">
        <f t="shared" si="0"/>
        <v>0</v>
      </c>
      <c r="AJ41">
        <f t="shared" si="1"/>
        <v>0</v>
      </c>
      <c r="AK41">
        <f t="shared" si="2"/>
        <v>0</v>
      </c>
    </row>
    <row r="42" spans="1:40" x14ac:dyDescent="0.25">
      <c r="A42" s="18">
        <v>30</v>
      </c>
      <c r="B42" s="25" t="s">
        <v>171</v>
      </c>
      <c r="C42" s="23" t="s">
        <v>82</v>
      </c>
      <c r="D42" s="23" t="s">
        <v>172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I42">
        <f t="shared" si="0"/>
        <v>0</v>
      </c>
      <c r="AJ42">
        <f t="shared" si="1"/>
        <v>0</v>
      </c>
      <c r="AK42">
        <f t="shared" si="2"/>
        <v>0</v>
      </c>
    </row>
    <row r="43" spans="1:40" x14ac:dyDescent="0.25">
      <c r="A43" s="18">
        <v>31</v>
      </c>
      <c r="B43" s="23" t="s">
        <v>173</v>
      </c>
      <c r="C43" s="23" t="s">
        <v>82</v>
      </c>
      <c r="D43" s="23" t="s">
        <v>174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I43">
        <f t="shared" si="0"/>
        <v>0</v>
      </c>
      <c r="AJ43">
        <f t="shared" si="1"/>
        <v>0</v>
      </c>
      <c r="AK43">
        <f t="shared" si="2"/>
        <v>0</v>
      </c>
    </row>
    <row r="44" spans="1:40" x14ac:dyDescent="0.25">
      <c r="A44" s="18">
        <v>32</v>
      </c>
      <c r="B44" s="25" t="s">
        <v>175</v>
      </c>
      <c r="C44" s="23" t="s">
        <v>82</v>
      </c>
      <c r="D44" s="23" t="s">
        <v>176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I44">
        <f t="shared" si="0"/>
        <v>0</v>
      </c>
      <c r="AJ44">
        <f t="shared" si="1"/>
        <v>0</v>
      </c>
      <c r="AK44">
        <f t="shared" si="2"/>
        <v>0</v>
      </c>
    </row>
    <row r="45" spans="1:40" x14ac:dyDescent="0.25">
      <c r="A45" s="18">
        <v>33</v>
      </c>
      <c r="B45" s="23" t="s">
        <v>177</v>
      </c>
      <c r="C45" s="23" t="s">
        <v>82</v>
      </c>
      <c r="D45" s="23" t="s">
        <v>178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I45">
        <f t="shared" si="0"/>
        <v>0</v>
      </c>
      <c r="AJ45">
        <f t="shared" si="1"/>
        <v>0</v>
      </c>
      <c r="AK45">
        <f t="shared" si="2"/>
        <v>0</v>
      </c>
    </row>
    <row r="46" spans="1:40" x14ac:dyDescent="0.25">
      <c r="A46" s="18">
        <v>34</v>
      </c>
      <c r="B46" t="s">
        <v>179</v>
      </c>
      <c r="C46" t="s">
        <v>82</v>
      </c>
      <c r="D46" t="s">
        <v>180</v>
      </c>
      <c r="E46" t="s">
        <v>97</v>
      </c>
      <c r="F46" t="s">
        <v>97</v>
      </c>
      <c r="G46" t="s">
        <v>97</v>
      </c>
      <c r="H46" t="s">
        <v>97</v>
      </c>
      <c r="I46" t="s">
        <v>97</v>
      </c>
      <c r="J46" t="s">
        <v>97</v>
      </c>
      <c r="K46" t="s">
        <v>97</v>
      </c>
      <c r="L46" s="23" t="s">
        <v>97</v>
      </c>
      <c r="M46" t="s">
        <v>97</v>
      </c>
      <c r="N46" t="s">
        <v>79</v>
      </c>
      <c r="O46" t="s">
        <v>79</v>
      </c>
      <c r="P46" t="s">
        <v>97</v>
      </c>
      <c r="Q46" t="s">
        <v>97</v>
      </c>
      <c r="R46" s="23" t="s">
        <v>97</v>
      </c>
      <c r="S46" t="s">
        <v>97</v>
      </c>
      <c r="T46" s="23" t="s">
        <v>97</v>
      </c>
      <c r="U46" s="23" t="s">
        <v>97</v>
      </c>
      <c r="V46" s="23" t="s">
        <v>97</v>
      </c>
      <c r="W46" s="23" t="s">
        <v>97</v>
      </c>
      <c r="X46" t="s">
        <v>79</v>
      </c>
      <c r="Y46" s="23" t="s">
        <v>97</v>
      </c>
      <c r="Z46" t="s">
        <v>80</v>
      </c>
      <c r="AA46" t="s">
        <v>97</v>
      </c>
      <c r="AB46" t="s">
        <v>97</v>
      </c>
      <c r="AC46" t="s">
        <v>97</v>
      </c>
      <c r="AD46" t="s">
        <v>97</v>
      </c>
      <c r="AE46" t="s">
        <v>97</v>
      </c>
      <c r="AF46" t="s">
        <v>97</v>
      </c>
      <c r="AI46">
        <f t="shared" si="0"/>
        <v>3</v>
      </c>
      <c r="AJ46">
        <f t="shared" si="1"/>
        <v>1</v>
      </c>
      <c r="AK46">
        <f t="shared" si="2"/>
        <v>4</v>
      </c>
      <c r="AN46" t="str">
        <f>HLOOKUP(Input!$B$3,MCA_5!$E$2:$AF$76,45)</f>
        <v>NA</v>
      </c>
    </row>
    <row r="47" spans="1:40" x14ac:dyDescent="0.25">
      <c r="A47" s="18">
        <v>35</v>
      </c>
      <c r="B47" t="s">
        <v>181</v>
      </c>
      <c r="C47" t="s">
        <v>82</v>
      </c>
      <c r="D47" t="s">
        <v>182</v>
      </c>
      <c r="E47" t="s">
        <v>97</v>
      </c>
      <c r="F47" t="s">
        <v>97</v>
      </c>
      <c r="G47" t="s">
        <v>97</v>
      </c>
      <c r="H47" t="s">
        <v>97</v>
      </c>
      <c r="I47" t="s">
        <v>97</v>
      </c>
      <c r="J47" t="s">
        <v>97</v>
      </c>
      <c r="K47" t="s">
        <v>97</v>
      </c>
      <c r="L47" s="23" t="s">
        <v>97</v>
      </c>
      <c r="M47" t="s">
        <v>97</v>
      </c>
      <c r="N47" t="s">
        <v>97</v>
      </c>
      <c r="O47" t="s">
        <v>97</v>
      </c>
      <c r="P47" t="s">
        <v>97</v>
      </c>
      <c r="Q47" t="s">
        <v>97</v>
      </c>
      <c r="R47" s="23" t="s">
        <v>97</v>
      </c>
      <c r="S47" t="s">
        <v>97</v>
      </c>
      <c r="T47" s="23" t="s">
        <v>97</v>
      </c>
      <c r="U47" s="23" t="s">
        <v>97</v>
      </c>
      <c r="V47" s="23" t="s">
        <v>97</v>
      </c>
      <c r="W47" s="23" t="s">
        <v>97</v>
      </c>
      <c r="X47" t="s">
        <v>97</v>
      </c>
      <c r="Y47" s="23" t="s">
        <v>97</v>
      </c>
      <c r="Z47" t="s">
        <v>97</v>
      </c>
      <c r="AA47" t="s">
        <v>97</v>
      </c>
      <c r="AB47" t="s">
        <v>97</v>
      </c>
      <c r="AC47" t="s">
        <v>97</v>
      </c>
      <c r="AD47" t="s">
        <v>97</v>
      </c>
      <c r="AE47" t="s">
        <v>97</v>
      </c>
      <c r="AF47" t="s">
        <v>97</v>
      </c>
      <c r="AI47">
        <f t="shared" si="0"/>
        <v>0</v>
      </c>
      <c r="AJ47">
        <f t="shared" si="1"/>
        <v>0</v>
      </c>
      <c r="AK47">
        <f t="shared" si="2"/>
        <v>0</v>
      </c>
      <c r="AN47" t="str">
        <f>HLOOKUP(Input!$B$3,MCA_5!$E$2:$AF$76,46)</f>
        <v>NA</v>
      </c>
    </row>
    <row r="48" spans="1:40" x14ac:dyDescent="0.25">
      <c r="A48" s="18">
        <v>36</v>
      </c>
      <c r="B48" t="s">
        <v>183</v>
      </c>
      <c r="C48" t="s">
        <v>82</v>
      </c>
      <c r="D48" t="s">
        <v>184</v>
      </c>
      <c r="E48" t="s">
        <v>80</v>
      </c>
      <c r="F48" t="s">
        <v>97</v>
      </c>
      <c r="G48" t="s">
        <v>80</v>
      </c>
      <c r="H48" t="s">
        <v>80</v>
      </c>
      <c r="I48" t="s">
        <v>97</v>
      </c>
      <c r="J48" t="s">
        <v>97</v>
      </c>
      <c r="K48" t="s">
        <v>97</v>
      </c>
      <c r="L48" s="23" t="s">
        <v>97</v>
      </c>
      <c r="M48" t="s">
        <v>97</v>
      </c>
      <c r="N48" t="s">
        <v>79</v>
      </c>
      <c r="O48" t="s">
        <v>79</v>
      </c>
      <c r="P48" t="s">
        <v>97</v>
      </c>
      <c r="Q48" t="s">
        <v>80</v>
      </c>
      <c r="R48" s="23" t="s">
        <v>97</v>
      </c>
      <c r="S48" t="s">
        <v>97</v>
      </c>
      <c r="T48" s="23" t="s">
        <v>97</v>
      </c>
      <c r="U48" s="23" t="s">
        <v>97</v>
      </c>
      <c r="V48" s="23" t="s">
        <v>97</v>
      </c>
      <c r="W48" s="23" t="s">
        <v>97</v>
      </c>
      <c r="X48" t="s">
        <v>79</v>
      </c>
      <c r="Y48" s="23" t="s">
        <v>97</v>
      </c>
      <c r="Z48" t="s">
        <v>80</v>
      </c>
      <c r="AA48" t="s">
        <v>80</v>
      </c>
      <c r="AB48" t="s">
        <v>80</v>
      </c>
      <c r="AC48" t="s">
        <v>97</v>
      </c>
      <c r="AD48" t="s">
        <v>97</v>
      </c>
      <c r="AE48" t="s">
        <v>80</v>
      </c>
      <c r="AF48" t="s">
        <v>97</v>
      </c>
      <c r="AI48">
        <f t="shared" si="0"/>
        <v>3</v>
      </c>
      <c r="AJ48">
        <f t="shared" si="1"/>
        <v>7</v>
      </c>
      <c r="AK48">
        <f t="shared" si="2"/>
        <v>10</v>
      </c>
      <c r="AN48" t="str">
        <f>HLOOKUP(Input!$B$3,MCA_5!$E$2:$AF$76,47)</f>
        <v>ENEC</v>
      </c>
    </row>
    <row r="49" spans="1:40" x14ac:dyDescent="0.25">
      <c r="A49" s="18">
        <v>37</v>
      </c>
      <c r="B49" s="23" t="s">
        <v>185</v>
      </c>
      <c r="C49" s="23" t="s">
        <v>82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I49">
        <f t="shared" si="0"/>
        <v>0</v>
      </c>
      <c r="AJ49">
        <f t="shared" si="1"/>
        <v>0</v>
      </c>
      <c r="AK49">
        <f t="shared" si="2"/>
        <v>0</v>
      </c>
    </row>
    <row r="50" spans="1:40" x14ac:dyDescent="0.25">
      <c r="A50" s="18">
        <v>38</v>
      </c>
      <c r="B50" t="s">
        <v>186</v>
      </c>
      <c r="C50" t="s">
        <v>82</v>
      </c>
      <c r="D50" t="s">
        <v>187</v>
      </c>
      <c r="E50" t="s">
        <v>80</v>
      </c>
      <c r="F50" t="s">
        <v>97</v>
      </c>
      <c r="G50" t="s">
        <v>80</v>
      </c>
      <c r="H50" t="s">
        <v>80</v>
      </c>
      <c r="I50" t="s">
        <v>97</v>
      </c>
      <c r="J50" t="s">
        <v>97</v>
      </c>
      <c r="K50" t="s">
        <v>97</v>
      </c>
      <c r="L50" s="23" t="s">
        <v>97</v>
      </c>
      <c r="M50" t="s">
        <v>97</v>
      </c>
      <c r="N50" t="s">
        <v>79</v>
      </c>
      <c r="O50" t="s">
        <v>79</v>
      </c>
      <c r="P50" t="s">
        <v>97</v>
      </c>
      <c r="Q50" t="s">
        <v>80</v>
      </c>
      <c r="R50" s="23" t="s">
        <v>97</v>
      </c>
      <c r="S50" t="s">
        <v>97</v>
      </c>
      <c r="T50" s="23" t="s">
        <v>97</v>
      </c>
      <c r="U50" s="23" t="s">
        <v>97</v>
      </c>
      <c r="V50" s="23" t="s">
        <v>97</v>
      </c>
      <c r="W50" s="23" t="s">
        <v>97</v>
      </c>
      <c r="X50" t="s">
        <v>79</v>
      </c>
      <c r="Y50" s="23" t="s">
        <v>97</v>
      </c>
      <c r="Z50" t="s">
        <v>97</v>
      </c>
      <c r="AA50" t="s">
        <v>80</v>
      </c>
      <c r="AB50" t="s">
        <v>80</v>
      </c>
      <c r="AC50" t="s">
        <v>97</v>
      </c>
      <c r="AD50" t="s">
        <v>97</v>
      </c>
      <c r="AE50" t="s">
        <v>80</v>
      </c>
      <c r="AF50" t="s">
        <v>97</v>
      </c>
      <c r="AI50">
        <f t="shared" si="0"/>
        <v>3</v>
      </c>
      <c r="AJ50">
        <f t="shared" si="1"/>
        <v>6</v>
      </c>
      <c r="AK50">
        <f t="shared" si="2"/>
        <v>9</v>
      </c>
      <c r="AN50" t="str">
        <f>HLOOKUP(Input!$B$3,MCA_5!$E$2:$AF$76,49)</f>
        <v>ENEC</v>
      </c>
    </row>
    <row r="51" spans="1:40" x14ac:dyDescent="0.25">
      <c r="A51" s="18">
        <v>39</v>
      </c>
      <c r="B51" t="s">
        <v>188</v>
      </c>
      <c r="C51" t="s">
        <v>82</v>
      </c>
      <c r="D51" t="s">
        <v>189</v>
      </c>
      <c r="E51" t="s">
        <v>80</v>
      </c>
      <c r="F51" t="s">
        <v>97</v>
      </c>
      <c r="G51" t="s">
        <v>80</v>
      </c>
      <c r="H51" t="s">
        <v>80</v>
      </c>
      <c r="I51" t="s">
        <v>97</v>
      </c>
      <c r="J51" t="s">
        <v>97</v>
      </c>
      <c r="K51" t="s">
        <v>97</v>
      </c>
      <c r="L51" s="23" t="s">
        <v>97</v>
      </c>
      <c r="M51" t="s">
        <v>97</v>
      </c>
      <c r="N51" t="s">
        <v>79</v>
      </c>
      <c r="O51" t="s">
        <v>79</v>
      </c>
      <c r="P51" t="s">
        <v>97</v>
      </c>
      <c r="Q51" t="s">
        <v>80</v>
      </c>
      <c r="R51" s="23" t="s">
        <v>97</v>
      </c>
      <c r="S51" t="s">
        <v>97</v>
      </c>
      <c r="T51" s="23" t="s">
        <v>97</v>
      </c>
      <c r="U51" s="23" t="s">
        <v>97</v>
      </c>
      <c r="V51" s="23" t="s">
        <v>97</v>
      </c>
      <c r="W51" s="23" t="s">
        <v>97</v>
      </c>
      <c r="X51" t="s">
        <v>79</v>
      </c>
      <c r="Y51" s="23" t="s">
        <v>97</v>
      </c>
      <c r="Z51" t="s">
        <v>97</v>
      </c>
      <c r="AA51" t="s">
        <v>80</v>
      </c>
      <c r="AB51" t="s">
        <v>80</v>
      </c>
      <c r="AC51" t="s">
        <v>97</v>
      </c>
      <c r="AD51" t="s">
        <v>97</v>
      </c>
      <c r="AE51" t="s">
        <v>80</v>
      </c>
      <c r="AF51" t="s">
        <v>97</v>
      </c>
      <c r="AI51">
        <f t="shared" si="0"/>
        <v>3</v>
      </c>
      <c r="AJ51">
        <f t="shared" si="1"/>
        <v>6</v>
      </c>
      <c r="AK51">
        <f t="shared" si="2"/>
        <v>9</v>
      </c>
      <c r="AN51" t="str">
        <f>HLOOKUP(Input!$B$3,MCA_5!$E$2:$AF$76,50)</f>
        <v>ENEC</v>
      </c>
    </row>
    <row r="52" spans="1:40" x14ac:dyDescent="0.25">
      <c r="A52" s="18">
        <v>40</v>
      </c>
      <c r="B52" t="s">
        <v>190</v>
      </c>
      <c r="C52" t="s">
        <v>82</v>
      </c>
      <c r="D52" t="s">
        <v>191</v>
      </c>
      <c r="E52" t="s">
        <v>79</v>
      </c>
      <c r="F52" t="s">
        <v>97</v>
      </c>
      <c r="G52" t="s">
        <v>80</v>
      </c>
      <c r="H52" t="s">
        <v>80</v>
      </c>
      <c r="I52" t="s">
        <v>97</v>
      </c>
      <c r="J52" t="s">
        <v>97</v>
      </c>
      <c r="K52" t="s">
        <v>97</v>
      </c>
      <c r="L52" s="23" t="s">
        <v>97</v>
      </c>
      <c r="M52" t="s">
        <v>97</v>
      </c>
      <c r="N52" t="s">
        <v>80</v>
      </c>
      <c r="O52" t="s">
        <v>79</v>
      </c>
      <c r="P52" t="s">
        <v>97</v>
      </c>
      <c r="Q52" t="s">
        <v>79</v>
      </c>
      <c r="R52" s="23" t="s">
        <v>97</v>
      </c>
      <c r="S52" t="s">
        <v>97</v>
      </c>
      <c r="T52" s="23" t="s">
        <v>97</v>
      </c>
      <c r="U52" s="23" t="s">
        <v>97</v>
      </c>
      <c r="V52" s="23" t="s">
        <v>97</v>
      </c>
      <c r="W52" s="23" t="s">
        <v>97</v>
      </c>
      <c r="X52" t="s">
        <v>79</v>
      </c>
      <c r="Y52" s="23" t="s">
        <v>97</v>
      </c>
      <c r="Z52" t="s">
        <v>97</v>
      </c>
      <c r="AA52" t="s">
        <v>80</v>
      </c>
      <c r="AB52" t="s">
        <v>79</v>
      </c>
      <c r="AC52" t="s">
        <v>97</v>
      </c>
      <c r="AD52" t="s">
        <v>97</v>
      </c>
      <c r="AE52" t="s">
        <v>79</v>
      </c>
      <c r="AF52" t="s">
        <v>97</v>
      </c>
      <c r="AI52">
        <f t="shared" si="0"/>
        <v>6</v>
      </c>
      <c r="AJ52">
        <f t="shared" si="1"/>
        <v>4</v>
      </c>
      <c r="AK52">
        <f t="shared" si="2"/>
        <v>10</v>
      </c>
      <c r="AN52" t="str">
        <f>HLOOKUP(Input!$B$3,MCA_5!$E$2:$AF$76,51)</f>
        <v>ENEC</v>
      </c>
    </row>
    <row r="53" spans="1:40" x14ac:dyDescent="0.25">
      <c r="A53" s="18">
        <v>41</v>
      </c>
      <c r="B53" t="s">
        <v>192</v>
      </c>
      <c r="C53" t="s">
        <v>82</v>
      </c>
      <c r="D53" t="s">
        <v>193</v>
      </c>
      <c r="E53" t="s">
        <v>80</v>
      </c>
      <c r="F53" t="s">
        <v>97</v>
      </c>
      <c r="G53" t="s">
        <v>80</v>
      </c>
      <c r="H53" t="s">
        <v>80</v>
      </c>
      <c r="I53" t="s">
        <v>97</v>
      </c>
      <c r="J53" t="s">
        <v>97</v>
      </c>
      <c r="K53" t="s">
        <v>97</v>
      </c>
      <c r="L53" s="23" t="s">
        <v>97</v>
      </c>
      <c r="M53" t="s">
        <v>80</v>
      </c>
      <c r="N53" t="s">
        <v>79</v>
      </c>
      <c r="O53" t="s">
        <v>79</v>
      </c>
      <c r="P53" t="s">
        <v>97</v>
      </c>
      <c r="Q53" t="s">
        <v>80</v>
      </c>
      <c r="R53" s="23" t="s">
        <v>97</v>
      </c>
      <c r="S53" t="s">
        <v>97</v>
      </c>
      <c r="T53" s="23" t="s">
        <v>97</v>
      </c>
      <c r="U53" s="23" t="s">
        <v>97</v>
      </c>
      <c r="V53" s="23" t="s">
        <v>97</v>
      </c>
      <c r="W53" s="23" t="s">
        <v>97</v>
      </c>
      <c r="X53" t="s">
        <v>79</v>
      </c>
      <c r="Y53" s="23" t="s">
        <v>97</v>
      </c>
      <c r="Z53" t="s">
        <v>97</v>
      </c>
      <c r="AA53" t="s">
        <v>80</v>
      </c>
      <c r="AB53" t="s">
        <v>97</v>
      </c>
      <c r="AC53" t="s">
        <v>97</v>
      </c>
      <c r="AD53" t="s">
        <v>97</v>
      </c>
      <c r="AE53" t="s">
        <v>79</v>
      </c>
      <c r="AF53" t="s">
        <v>79</v>
      </c>
      <c r="AI53">
        <f t="shared" si="0"/>
        <v>5</v>
      </c>
      <c r="AJ53">
        <f t="shared" si="1"/>
        <v>5</v>
      </c>
      <c r="AK53">
        <f t="shared" si="2"/>
        <v>10</v>
      </c>
      <c r="AN53" t="str">
        <f>HLOOKUP(Input!$B$3,MCA_5!$E$2:$AF$76,52)</f>
        <v>ENEC</v>
      </c>
    </row>
    <row r="54" spans="1:40" x14ac:dyDescent="0.25">
      <c r="A54" s="18">
        <v>42</v>
      </c>
      <c r="B54" t="s">
        <v>194</v>
      </c>
      <c r="C54" t="s">
        <v>82</v>
      </c>
      <c r="D54" t="s">
        <v>195</v>
      </c>
      <c r="E54" t="s">
        <v>80</v>
      </c>
      <c r="F54" t="s">
        <v>79</v>
      </c>
      <c r="G54" t="s">
        <v>80</v>
      </c>
      <c r="H54" t="s">
        <v>80</v>
      </c>
      <c r="I54" t="s">
        <v>97</v>
      </c>
      <c r="J54" t="s">
        <v>97</v>
      </c>
      <c r="K54" t="s">
        <v>80</v>
      </c>
      <c r="L54" s="23" t="s">
        <v>97</v>
      </c>
      <c r="M54" t="s">
        <v>80</v>
      </c>
      <c r="N54" t="s">
        <v>79</v>
      </c>
      <c r="O54" t="s">
        <v>79</v>
      </c>
      <c r="P54" t="s">
        <v>97</v>
      </c>
      <c r="Q54" t="s">
        <v>80</v>
      </c>
      <c r="R54" s="23" t="s">
        <v>97</v>
      </c>
      <c r="S54" t="s">
        <v>97</v>
      </c>
      <c r="T54" s="23" t="s">
        <v>97</v>
      </c>
      <c r="U54" s="23" t="s">
        <v>97</v>
      </c>
      <c r="V54" s="23" t="s">
        <v>97</v>
      </c>
      <c r="W54" s="23" t="s">
        <v>97</v>
      </c>
      <c r="X54" t="s">
        <v>79</v>
      </c>
      <c r="Y54" s="23" t="s">
        <v>97</v>
      </c>
      <c r="Z54" t="s">
        <v>97</v>
      </c>
      <c r="AA54" t="s">
        <v>80</v>
      </c>
      <c r="AB54" t="s">
        <v>80</v>
      </c>
      <c r="AC54" t="s">
        <v>97</v>
      </c>
      <c r="AD54" t="s">
        <v>97</v>
      </c>
      <c r="AE54" t="s">
        <v>79</v>
      </c>
      <c r="AF54" t="s">
        <v>97</v>
      </c>
      <c r="AI54">
        <f t="shared" si="0"/>
        <v>5</v>
      </c>
      <c r="AJ54">
        <f t="shared" si="1"/>
        <v>7</v>
      </c>
      <c r="AK54">
        <f t="shared" si="2"/>
        <v>12</v>
      </c>
      <c r="AN54" t="str">
        <f>HLOOKUP(Input!$B$3,MCA_5!$E$2:$AF$76,53)</f>
        <v>ENEC</v>
      </c>
    </row>
    <row r="55" spans="1:40" x14ac:dyDescent="0.25">
      <c r="A55" s="18">
        <v>43</v>
      </c>
      <c r="B55" t="s">
        <v>196</v>
      </c>
      <c r="C55" t="s">
        <v>82</v>
      </c>
      <c r="D55" t="s">
        <v>197</v>
      </c>
      <c r="E55" t="s">
        <v>97</v>
      </c>
      <c r="F55" t="s">
        <v>97</v>
      </c>
      <c r="G55" t="s">
        <v>97</v>
      </c>
      <c r="H55" t="s">
        <v>97</v>
      </c>
      <c r="I55" t="s">
        <v>97</v>
      </c>
      <c r="J55" t="s">
        <v>97</v>
      </c>
      <c r="K55" t="s">
        <v>97</v>
      </c>
      <c r="L55" s="23" t="s">
        <v>97</v>
      </c>
      <c r="M55" t="s">
        <v>97</v>
      </c>
      <c r="N55" t="s">
        <v>97</v>
      </c>
      <c r="O55" t="s">
        <v>97</v>
      </c>
      <c r="P55" t="s">
        <v>97</v>
      </c>
      <c r="Q55" t="s">
        <v>97</v>
      </c>
      <c r="R55" s="23" t="s">
        <v>97</v>
      </c>
      <c r="S55" t="s">
        <v>97</v>
      </c>
      <c r="T55" s="23" t="s">
        <v>97</v>
      </c>
      <c r="U55" s="23" t="s">
        <v>97</v>
      </c>
      <c r="V55" s="23" t="s">
        <v>97</v>
      </c>
      <c r="W55" s="23" t="s">
        <v>97</v>
      </c>
      <c r="X55" t="s">
        <v>97</v>
      </c>
      <c r="Y55" s="23" t="s">
        <v>97</v>
      </c>
      <c r="Z55" t="s">
        <v>97</v>
      </c>
      <c r="AA55" t="s">
        <v>97</v>
      </c>
      <c r="AB55" t="s">
        <v>97</v>
      </c>
      <c r="AC55" t="s">
        <v>97</v>
      </c>
      <c r="AD55" t="s">
        <v>97</v>
      </c>
      <c r="AE55" t="s">
        <v>79</v>
      </c>
      <c r="AF55" t="s">
        <v>97</v>
      </c>
      <c r="AI55">
        <f t="shared" si="0"/>
        <v>1</v>
      </c>
      <c r="AJ55">
        <f t="shared" si="1"/>
        <v>0</v>
      </c>
      <c r="AK55">
        <f t="shared" si="2"/>
        <v>1</v>
      </c>
      <c r="AN55" t="str">
        <f>HLOOKUP(Input!$B$3,MCA_5!$E$2:$AF$76,54)</f>
        <v>NA</v>
      </c>
    </row>
    <row r="56" spans="1:40" x14ac:dyDescent="0.25">
      <c r="A56" s="18">
        <v>44</v>
      </c>
      <c r="B56" s="24" t="s">
        <v>198</v>
      </c>
      <c r="C56" t="s">
        <v>82</v>
      </c>
      <c r="D56" t="s">
        <v>199</v>
      </c>
      <c r="E56" t="s">
        <v>97</v>
      </c>
      <c r="F56" t="s">
        <v>79</v>
      </c>
      <c r="G56" t="s">
        <v>97</v>
      </c>
      <c r="H56" t="s">
        <v>97</v>
      </c>
      <c r="I56" t="s">
        <v>79</v>
      </c>
      <c r="J56" t="s">
        <v>97</v>
      </c>
      <c r="K56" t="s">
        <v>97</v>
      </c>
      <c r="L56" s="23" t="s">
        <v>97</v>
      </c>
      <c r="M56" t="s">
        <v>97</v>
      </c>
      <c r="N56" t="s">
        <v>79</v>
      </c>
      <c r="O56" t="s">
        <v>79</v>
      </c>
      <c r="P56" t="s">
        <v>97</v>
      </c>
      <c r="Q56" t="s">
        <v>97</v>
      </c>
      <c r="R56" s="23" t="s">
        <v>97</v>
      </c>
      <c r="S56" t="s">
        <v>97</v>
      </c>
      <c r="T56" s="23" t="s">
        <v>97</v>
      </c>
      <c r="U56" s="23" t="s">
        <v>97</v>
      </c>
      <c r="V56" s="23" t="s">
        <v>97</v>
      </c>
      <c r="W56" s="23" t="s">
        <v>97</v>
      </c>
      <c r="X56" t="s">
        <v>79</v>
      </c>
      <c r="Y56" s="23" t="s">
        <v>97</v>
      </c>
      <c r="Z56" t="s">
        <v>80</v>
      </c>
      <c r="AA56" t="s">
        <v>97</v>
      </c>
      <c r="AB56" t="s">
        <v>79</v>
      </c>
      <c r="AC56" t="s">
        <v>97</v>
      </c>
      <c r="AD56" t="s">
        <v>97</v>
      </c>
      <c r="AE56" s="24" t="s">
        <v>97</v>
      </c>
      <c r="AF56" s="24" t="s">
        <v>97</v>
      </c>
      <c r="AI56">
        <f t="shared" si="0"/>
        <v>6</v>
      </c>
      <c r="AJ56">
        <f t="shared" si="1"/>
        <v>1</v>
      </c>
      <c r="AK56">
        <f t="shared" si="2"/>
        <v>7</v>
      </c>
      <c r="AN56" t="str">
        <f>HLOOKUP(Input!$B$3,MCA_5!$E$2:$AF$76,55)</f>
        <v>NA</v>
      </c>
    </row>
    <row r="57" spans="1:40" x14ac:dyDescent="0.25">
      <c r="A57" s="26">
        <v>45</v>
      </c>
      <c r="B57" s="27" t="s">
        <v>200</v>
      </c>
      <c r="C57" s="28" t="s">
        <v>82</v>
      </c>
      <c r="D57" s="28" t="s">
        <v>201</v>
      </c>
      <c r="E57" s="28" t="s">
        <v>79</v>
      </c>
      <c r="F57" s="28" t="s">
        <v>79</v>
      </c>
      <c r="G57" s="28" t="s">
        <v>79</v>
      </c>
      <c r="H57" s="28" t="s">
        <v>79</v>
      </c>
      <c r="I57" s="28" t="s">
        <v>97</v>
      </c>
      <c r="J57" s="28" t="s">
        <v>97</v>
      </c>
      <c r="K57" s="28" t="s">
        <v>97</v>
      </c>
      <c r="L57" s="29" t="s">
        <v>97</v>
      </c>
      <c r="M57" s="28" t="s">
        <v>79</v>
      </c>
      <c r="N57" s="28" t="s">
        <v>79</v>
      </c>
      <c r="O57" s="28" t="s">
        <v>79</v>
      </c>
      <c r="P57" s="28" t="s">
        <v>97</v>
      </c>
      <c r="Q57" s="28" t="s">
        <v>79</v>
      </c>
      <c r="R57" s="29" t="s">
        <v>97</v>
      </c>
      <c r="S57" s="28" t="s">
        <v>97</v>
      </c>
      <c r="T57" s="29" t="s">
        <v>97</v>
      </c>
      <c r="U57" s="29" t="s">
        <v>97</v>
      </c>
      <c r="V57" s="29" t="s">
        <v>97</v>
      </c>
      <c r="W57" s="29" t="s">
        <v>97</v>
      </c>
      <c r="X57" s="28" t="s">
        <v>79</v>
      </c>
      <c r="Y57" s="29" t="s">
        <v>97</v>
      </c>
      <c r="Z57" s="27" t="s">
        <v>97</v>
      </c>
      <c r="AA57" s="28" t="s">
        <v>79</v>
      </c>
      <c r="AB57" s="28" t="s">
        <v>79</v>
      </c>
      <c r="AC57" s="28" t="s">
        <v>97</v>
      </c>
      <c r="AD57" s="28" t="s">
        <v>79</v>
      </c>
      <c r="AE57" s="28" t="s">
        <v>79</v>
      </c>
      <c r="AF57" s="28" t="s">
        <v>97</v>
      </c>
      <c r="AG57" s="28"/>
      <c r="AH57" s="30">
        <v>5</v>
      </c>
      <c r="AI57" s="31">
        <f t="shared" si="0"/>
        <v>13</v>
      </c>
      <c r="AJ57" s="28">
        <f t="shared" si="1"/>
        <v>0</v>
      </c>
      <c r="AK57" s="28">
        <f t="shared" si="2"/>
        <v>13</v>
      </c>
      <c r="AN57" t="str">
        <f>HLOOKUP(Input!$B$3,MCA_5!$E$2:$AF$76,56)</f>
        <v>DERC</v>
      </c>
    </row>
    <row r="58" spans="1:40" x14ac:dyDescent="0.25">
      <c r="A58" s="18">
        <v>46</v>
      </c>
      <c r="B58" s="24" t="s">
        <v>202</v>
      </c>
      <c r="C58" t="s">
        <v>203</v>
      </c>
      <c r="D58" t="s">
        <v>204</v>
      </c>
      <c r="E58" s="32" t="s">
        <v>97</v>
      </c>
      <c r="F58" t="s">
        <v>80</v>
      </c>
      <c r="G58" s="32" t="s">
        <v>97</v>
      </c>
      <c r="H58" s="32" t="s">
        <v>97</v>
      </c>
      <c r="I58" s="32" t="s">
        <v>97</v>
      </c>
      <c r="J58" s="32" t="s">
        <v>97</v>
      </c>
      <c r="K58" s="32" t="s">
        <v>97</v>
      </c>
      <c r="L58" s="23" t="s">
        <v>97</v>
      </c>
      <c r="M58" s="32" t="s">
        <v>97</v>
      </c>
      <c r="N58" t="s">
        <v>80</v>
      </c>
      <c r="O58" t="s">
        <v>79</v>
      </c>
      <c r="P58" s="32" t="s">
        <v>97</v>
      </c>
      <c r="Q58" s="32" t="s">
        <v>97</v>
      </c>
      <c r="R58" s="23" t="s">
        <v>97</v>
      </c>
      <c r="S58" t="s">
        <v>80</v>
      </c>
      <c r="T58" s="23" t="s">
        <v>97</v>
      </c>
      <c r="U58" s="23" t="s">
        <v>97</v>
      </c>
      <c r="V58" s="23" t="s">
        <v>97</v>
      </c>
      <c r="W58" s="23" t="s">
        <v>97</v>
      </c>
      <c r="X58" t="s">
        <v>79</v>
      </c>
      <c r="Y58" s="23" t="s">
        <v>97</v>
      </c>
      <c r="Z58" s="32" t="s">
        <v>97</v>
      </c>
      <c r="AA58" s="32" t="s">
        <v>97</v>
      </c>
      <c r="AB58" s="32" t="s">
        <v>97</v>
      </c>
      <c r="AC58" t="s">
        <v>80</v>
      </c>
      <c r="AD58" s="32" t="s">
        <v>97</v>
      </c>
      <c r="AE58" t="s">
        <v>79</v>
      </c>
      <c r="AF58" t="s">
        <v>80</v>
      </c>
      <c r="AI58">
        <f t="shared" si="0"/>
        <v>3</v>
      </c>
      <c r="AJ58">
        <f t="shared" si="1"/>
        <v>5</v>
      </c>
      <c r="AK58">
        <f t="shared" si="2"/>
        <v>8</v>
      </c>
      <c r="AN58" t="str">
        <f>HLOOKUP(Input!$B$3,MCA_5!$E$2:$AF$76,57)</f>
        <v>NA</v>
      </c>
    </row>
    <row r="59" spans="1:40" x14ac:dyDescent="0.25">
      <c r="A59" s="18">
        <v>47</v>
      </c>
      <c r="B59" s="24" t="s">
        <v>205</v>
      </c>
      <c r="C59" t="s">
        <v>203</v>
      </c>
      <c r="D59" t="s">
        <v>206</v>
      </c>
      <c r="E59" t="s">
        <v>79</v>
      </c>
      <c r="F59" t="s">
        <v>97</v>
      </c>
      <c r="G59" t="s">
        <v>80</v>
      </c>
      <c r="H59" t="s">
        <v>80</v>
      </c>
      <c r="I59" s="32" t="s">
        <v>97</v>
      </c>
      <c r="J59" s="32" t="s">
        <v>97</v>
      </c>
      <c r="K59" s="32" t="s">
        <v>97</v>
      </c>
      <c r="L59" s="23" t="s">
        <v>97</v>
      </c>
      <c r="M59" s="32" t="s">
        <v>97</v>
      </c>
      <c r="N59" t="s">
        <v>79</v>
      </c>
      <c r="O59" t="s">
        <v>79</v>
      </c>
      <c r="P59" s="32" t="s">
        <v>97</v>
      </c>
      <c r="Q59" t="s">
        <v>80</v>
      </c>
      <c r="R59" s="23" t="s">
        <v>97</v>
      </c>
      <c r="S59" t="s">
        <v>97</v>
      </c>
      <c r="T59" s="23" t="s">
        <v>97</v>
      </c>
      <c r="U59" s="23" t="s">
        <v>97</v>
      </c>
      <c r="V59" s="23" t="s">
        <v>97</v>
      </c>
      <c r="W59" s="23" t="s">
        <v>97</v>
      </c>
      <c r="X59" t="s">
        <v>80</v>
      </c>
      <c r="Y59" s="23" t="s">
        <v>97</v>
      </c>
      <c r="Z59" s="32" t="s">
        <v>97</v>
      </c>
      <c r="AA59" t="s">
        <v>80</v>
      </c>
      <c r="AB59" t="s">
        <v>80</v>
      </c>
      <c r="AC59" t="s">
        <v>79</v>
      </c>
      <c r="AD59" s="32" t="s">
        <v>97</v>
      </c>
      <c r="AE59" t="s">
        <v>79</v>
      </c>
      <c r="AF59" t="s">
        <v>97</v>
      </c>
      <c r="AI59">
        <f t="shared" si="0"/>
        <v>5</v>
      </c>
      <c r="AJ59">
        <f t="shared" si="1"/>
        <v>6</v>
      </c>
      <c r="AK59">
        <f t="shared" si="2"/>
        <v>11</v>
      </c>
      <c r="AN59" t="str">
        <f>HLOOKUP(Input!$B$3,MCA_5!$E$2:$AF$76,58)</f>
        <v>ENEC</v>
      </c>
    </row>
    <row r="60" spans="1:40" x14ac:dyDescent="0.25">
      <c r="A60" s="18">
        <v>48</v>
      </c>
      <c r="B60" t="s">
        <v>207</v>
      </c>
      <c r="C60" t="s">
        <v>203</v>
      </c>
      <c r="D60" t="s">
        <v>208</v>
      </c>
      <c r="E60" t="s">
        <v>79</v>
      </c>
      <c r="F60" t="s">
        <v>79</v>
      </c>
      <c r="G60" t="s">
        <v>79</v>
      </c>
      <c r="H60" t="s">
        <v>79</v>
      </c>
      <c r="I60" s="32" t="s">
        <v>97</v>
      </c>
      <c r="J60" t="s">
        <v>79</v>
      </c>
      <c r="K60" s="32" t="s">
        <v>97</v>
      </c>
      <c r="L60" s="23" t="s">
        <v>97</v>
      </c>
      <c r="M60" s="32" t="s">
        <v>97</v>
      </c>
      <c r="N60" t="s">
        <v>79</v>
      </c>
      <c r="O60" t="s">
        <v>79</v>
      </c>
      <c r="P60" t="s">
        <v>79</v>
      </c>
      <c r="Q60" t="s">
        <v>79</v>
      </c>
      <c r="R60" s="23" t="s">
        <v>97</v>
      </c>
      <c r="S60" t="s">
        <v>79</v>
      </c>
      <c r="T60" s="23" t="s">
        <v>97</v>
      </c>
      <c r="U60" s="23" t="s">
        <v>97</v>
      </c>
      <c r="V60" s="23" t="s">
        <v>97</v>
      </c>
      <c r="W60" s="23" t="s">
        <v>97</v>
      </c>
      <c r="X60" t="s">
        <v>79</v>
      </c>
      <c r="Y60" s="23" t="s">
        <v>97</v>
      </c>
      <c r="Z60" t="s">
        <v>79</v>
      </c>
      <c r="AA60" t="s">
        <v>79</v>
      </c>
      <c r="AB60" t="s">
        <v>79</v>
      </c>
      <c r="AC60" t="s">
        <v>79</v>
      </c>
      <c r="AD60" t="s">
        <v>79</v>
      </c>
      <c r="AE60" t="s">
        <v>79</v>
      </c>
      <c r="AF60" t="s">
        <v>97</v>
      </c>
      <c r="AH60" s="33">
        <v>1</v>
      </c>
      <c r="AI60" s="34">
        <f t="shared" si="0"/>
        <v>17</v>
      </c>
      <c r="AJ60">
        <f t="shared" si="1"/>
        <v>0</v>
      </c>
      <c r="AK60">
        <f t="shared" si="2"/>
        <v>17</v>
      </c>
      <c r="AN60" t="str">
        <f>HLOOKUP(Input!$B$3,MCA_5!$E$2:$AF$76,59)</f>
        <v>DERC</v>
      </c>
    </row>
    <row r="61" spans="1:40" x14ac:dyDescent="0.25">
      <c r="A61" s="18">
        <v>49</v>
      </c>
      <c r="B61" t="s">
        <v>209</v>
      </c>
      <c r="C61" t="s">
        <v>210</v>
      </c>
      <c r="D61" t="s">
        <v>211</v>
      </c>
      <c r="E61" t="s">
        <v>80</v>
      </c>
      <c r="F61" t="s">
        <v>79</v>
      </c>
      <c r="G61" t="s">
        <v>79</v>
      </c>
      <c r="H61" t="s">
        <v>80</v>
      </c>
      <c r="I61" s="32" t="s">
        <v>97</v>
      </c>
      <c r="J61" t="s">
        <v>80</v>
      </c>
      <c r="K61" s="32" t="s">
        <v>97</v>
      </c>
      <c r="L61" s="23" t="s">
        <v>97</v>
      </c>
      <c r="M61" s="32" t="s">
        <v>97</v>
      </c>
      <c r="N61" t="s">
        <v>79</v>
      </c>
      <c r="O61" t="s">
        <v>80</v>
      </c>
      <c r="P61" s="24" t="s">
        <v>97</v>
      </c>
      <c r="Q61" t="s">
        <v>79</v>
      </c>
      <c r="R61" s="23" t="s">
        <v>97</v>
      </c>
      <c r="S61" t="s">
        <v>79</v>
      </c>
      <c r="T61" s="23" t="s">
        <v>97</v>
      </c>
      <c r="U61" s="23" t="s">
        <v>97</v>
      </c>
      <c r="V61" s="23" t="s">
        <v>97</v>
      </c>
      <c r="W61" s="23" t="s">
        <v>97</v>
      </c>
      <c r="X61" t="s">
        <v>79</v>
      </c>
      <c r="Y61" s="23" t="s">
        <v>97</v>
      </c>
      <c r="Z61" t="s">
        <v>97</v>
      </c>
      <c r="AA61" t="s">
        <v>79</v>
      </c>
      <c r="AB61" t="s">
        <v>79</v>
      </c>
      <c r="AC61" t="s">
        <v>79</v>
      </c>
      <c r="AD61" t="s">
        <v>97</v>
      </c>
      <c r="AE61" t="s">
        <v>97</v>
      </c>
      <c r="AF61" t="s">
        <v>79</v>
      </c>
      <c r="AI61">
        <f t="shared" si="0"/>
        <v>10</v>
      </c>
      <c r="AJ61">
        <f t="shared" si="1"/>
        <v>3</v>
      </c>
      <c r="AK61">
        <f t="shared" si="2"/>
        <v>13</v>
      </c>
      <c r="AN61" t="str">
        <f>HLOOKUP(Input!$B$3,MCA_5!$E$2:$AF$76,60)</f>
        <v>ENEC</v>
      </c>
    </row>
    <row r="62" spans="1:40" x14ac:dyDescent="0.25">
      <c r="A62" s="18">
        <v>50</v>
      </c>
      <c r="B62" t="s">
        <v>212</v>
      </c>
      <c r="C62" t="s">
        <v>210</v>
      </c>
      <c r="D62" t="s">
        <v>213</v>
      </c>
      <c r="E62" t="s">
        <v>79</v>
      </c>
      <c r="F62" t="s">
        <v>97</v>
      </c>
      <c r="G62" t="s">
        <v>79</v>
      </c>
      <c r="H62" t="s">
        <v>79</v>
      </c>
      <c r="I62" s="32" t="s">
        <v>97</v>
      </c>
      <c r="J62" s="32" t="s">
        <v>97</v>
      </c>
      <c r="K62" s="32" t="s">
        <v>97</v>
      </c>
      <c r="L62" s="23" t="s">
        <v>97</v>
      </c>
      <c r="M62" s="32" t="s">
        <v>97</v>
      </c>
      <c r="N62" t="s">
        <v>79</v>
      </c>
      <c r="O62" t="s">
        <v>79</v>
      </c>
      <c r="P62" s="24" t="s">
        <v>97</v>
      </c>
      <c r="Q62" t="s">
        <v>79</v>
      </c>
      <c r="R62" s="23" t="s">
        <v>97</v>
      </c>
      <c r="S62" t="s">
        <v>97</v>
      </c>
      <c r="T62" s="23" t="s">
        <v>97</v>
      </c>
      <c r="U62" s="23" t="s">
        <v>97</v>
      </c>
      <c r="V62" s="23" t="s">
        <v>97</v>
      </c>
      <c r="W62" s="23" t="s">
        <v>97</v>
      </c>
      <c r="X62" t="s">
        <v>79</v>
      </c>
      <c r="Y62" s="23" t="s">
        <v>97</v>
      </c>
      <c r="Z62" t="s">
        <v>97</v>
      </c>
      <c r="AA62" t="s">
        <v>79</v>
      </c>
      <c r="AB62" t="s">
        <v>80</v>
      </c>
      <c r="AC62" t="s">
        <v>97</v>
      </c>
      <c r="AD62" t="s">
        <v>79</v>
      </c>
      <c r="AE62" t="s">
        <v>79</v>
      </c>
      <c r="AF62" t="s">
        <v>97</v>
      </c>
      <c r="AI62">
        <f t="shared" si="0"/>
        <v>10</v>
      </c>
      <c r="AJ62">
        <f t="shared" si="1"/>
        <v>1</v>
      </c>
      <c r="AK62">
        <f t="shared" si="2"/>
        <v>11</v>
      </c>
      <c r="AN62" t="str">
        <f>HLOOKUP(Input!$B$3,MCA_5!$E$2:$AF$76,61)</f>
        <v>DERC</v>
      </c>
    </row>
    <row r="63" spans="1:40" x14ac:dyDescent="0.25">
      <c r="A63" s="18">
        <v>51</v>
      </c>
      <c r="B63" t="s">
        <v>214</v>
      </c>
      <c r="C63" t="s">
        <v>210</v>
      </c>
      <c r="D63" t="s">
        <v>215</v>
      </c>
      <c r="E63" t="s">
        <v>80</v>
      </c>
      <c r="F63" t="s">
        <v>97</v>
      </c>
      <c r="G63" t="s">
        <v>97</v>
      </c>
      <c r="H63" t="s">
        <v>97</v>
      </c>
      <c r="I63" s="32" t="s">
        <v>97</v>
      </c>
      <c r="J63" s="32" t="s">
        <v>97</v>
      </c>
      <c r="K63" s="32" t="s">
        <v>97</v>
      </c>
      <c r="L63" s="23" t="s">
        <v>97</v>
      </c>
      <c r="M63" s="32" t="s">
        <v>97</v>
      </c>
      <c r="N63" t="s">
        <v>79</v>
      </c>
      <c r="O63" t="s">
        <v>97</v>
      </c>
      <c r="P63" s="24" t="s">
        <v>97</v>
      </c>
      <c r="Q63" t="s">
        <v>80</v>
      </c>
      <c r="R63" s="23" t="s">
        <v>97</v>
      </c>
      <c r="S63" t="s">
        <v>97</v>
      </c>
      <c r="T63" s="23" t="s">
        <v>97</v>
      </c>
      <c r="U63" s="23" t="s">
        <v>97</v>
      </c>
      <c r="V63" s="23" t="s">
        <v>97</v>
      </c>
      <c r="W63" s="23" t="s">
        <v>97</v>
      </c>
      <c r="X63" t="s">
        <v>79</v>
      </c>
      <c r="Y63" s="23" t="s">
        <v>97</v>
      </c>
      <c r="Z63" t="s">
        <v>97</v>
      </c>
      <c r="AA63" t="s">
        <v>80</v>
      </c>
      <c r="AB63" t="s">
        <v>97</v>
      </c>
      <c r="AC63" t="s">
        <v>97</v>
      </c>
      <c r="AD63" t="s">
        <v>97</v>
      </c>
      <c r="AE63" t="s">
        <v>80</v>
      </c>
      <c r="AF63" t="s">
        <v>97</v>
      </c>
      <c r="AI63">
        <f t="shared" si="0"/>
        <v>2</v>
      </c>
      <c r="AJ63">
        <f t="shared" si="1"/>
        <v>3</v>
      </c>
      <c r="AK63">
        <f t="shared" si="2"/>
        <v>5</v>
      </c>
      <c r="AN63" t="str">
        <f>HLOOKUP(Input!$B$3,MCA_5!$E$2:$AF$76,62)</f>
        <v>NA</v>
      </c>
    </row>
    <row r="64" spans="1:40" x14ac:dyDescent="0.25">
      <c r="A64" s="18">
        <v>52</v>
      </c>
      <c r="B64" s="24" t="s">
        <v>216</v>
      </c>
      <c r="C64" t="s">
        <v>210</v>
      </c>
      <c r="D64" t="s">
        <v>217</v>
      </c>
      <c r="E64" t="s">
        <v>80</v>
      </c>
      <c r="F64" t="s">
        <v>97</v>
      </c>
      <c r="G64" t="s">
        <v>80</v>
      </c>
      <c r="H64" t="s">
        <v>80</v>
      </c>
      <c r="I64" s="32" t="s">
        <v>97</v>
      </c>
      <c r="J64" s="32" t="s">
        <v>97</v>
      </c>
      <c r="K64" s="32" t="s">
        <v>97</v>
      </c>
      <c r="L64" s="23" t="s">
        <v>97</v>
      </c>
      <c r="M64" s="32" t="s">
        <v>97</v>
      </c>
      <c r="N64" t="s">
        <v>79</v>
      </c>
      <c r="O64" t="s">
        <v>79</v>
      </c>
      <c r="P64" s="24" t="s">
        <v>97</v>
      </c>
      <c r="Q64" t="s">
        <v>80</v>
      </c>
      <c r="R64" s="23" t="s">
        <v>97</v>
      </c>
      <c r="S64" t="s">
        <v>97</v>
      </c>
      <c r="T64" s="23" t="s">
        <v>97</v>
      </c>
      <c r="U64" s="23" t="s">
        <v>97</v>
      </c>
      <c r="V64" s="23" t="s">
        <v>97</v>
      </c>
      <c r="W64" s="23" t="s">
        <v>97</v>
      </c>
      <c r="X64" t="s">
        <v>79</v>
      </c>
      <c r="Y64" s="23" t="s">
        <v>97</v>
      </c>
      <c r="Z64" t="s">
        <v>80</v>
      </c>
      <c r="AA64" t="s">
        <v>80</v>
      </c>
      <c r="AB64" t="s">
        <v>97</v>
      </c>
      <c r="AC64" t="s">
        <v>97</v>
      </c>
      <c r="AD64" t="s">
        <v>97</v>
      </c>
      <c r="AE64" t="s">
        <v>79</v>
      </c>
      <c r="AF64" t="s">
        <v>97</v>
      </c>
      <c r="AI64">
        <f t="shared" si="0"/>
        <v>4</v>
      </c>
      <c r="AJ64">
        <f t="shared" si="1"/>
        <v>5</v>
      </c>
      <c r="AK64">
        <f t="shared" si="2"/>
        <v>9</v>
      </c>
      <c r="AN64" t="str">
        <f>HLOOKUP(Input!$B$3,MCA_5!$E$2:$AF$76,63)</f>
        <v>ENEC</v>
      </c>
    </row>
    <row r="65" spans="1:40" x14ac:dyDescent="0.25">
      <c r="A65" s="18">
        <v>53</v>
      </c>
      <c r="B65" s="23" t="s">
        <v>218</v>
      </c>
      <c r="C65" s="23" t="s">
        <v>210</v>
      </c>
      <c r="D65" s="23" t="s">
        <v>219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I65">
        <f t="shared" si="0"/>
        <v>0</v>
      </c>
      <c r="AJ65">
        <f t="shared" si="1"/>
        <v>0</v>
      </c>
      <c r="AK65">
        <f t="shared" si="2"/>
        <v>0</v>
      </c>
    </row>
    <row r="66" spans="1:40" x14ac:dyDescent="0.25">
      <c r="A66" s="18">
        <v>54</v>
      </c>
      <c r="B66" t="s">
        <v>220</v>
      </c>
      <c r="C66" t="s">
        <v>210</v>
      </c>
      <c r="D66" t="s">
        <v>221</v>
      </c>
      <c r="E66" t="s">
        <v>79</v>
      </c>
      <c r="F66" t="s">
        <v>97</v>
      </c>
      <c r="G66" t="s">
        <v>80</v>
      </c>
      <c r="H66" t="s">
        <v>79</v>
      </c>
      <c r="I66" s="32" t="s">
        <v>97</v>
      </c>
      <c r="J66" s="32" t="s">
        <v>97</v>
      </c>
      <c r="K66" s="32" t="s">
        <v>97</v>
      </c>
      <c r="L66" s="23" t="s">
        <v>97</v>
      </c>
      <c r="M66" s="32" t="s">
        <v>97</v>
      </c>
      <c r="N66" t="s">
        <v>80</v>
      </c>
      <c r="O66" t="s">
        <v>79</v>
      </c>
      <c r="P66" s="24" t="s">
        <v>97</v>
      </c>
      <c r="Q66" t="s">
        <v>79</v>
      </c>
      <c r="R66" s="23" t="s">
        <v>97</v>
      </c>
      <c r="S66" t="s">
        <v>97</v>
      </c>
      <c r="T66" s="23" t="s">
        <v>97</v>
      </c>
      <c r="U66" s="23" t="s">
        <v>97</v>
      </c>
      <c r="V66" s="23" t="s">
        <v>97</v>
      </c>
      <c r="W66" s="23" t="s">
        <v>97</v>
      </c>
      <c r="X66" t="s">
        <v>80</v>
      </c>
      <c r="Y66" s="23" t="s">
        <v>97</v>
      </c>
      <c r="Z66" t="s">
        <v>97</v>
      </c>
      <c r="AA66" t="s">
        <v>80</v>
      </c>
      <c r="AB66" t="s">
        <v>79</v>
      </c>
      <c r="AC66" t="s">
        <v>97</v>
      </c>
      <c r="AD66" t="s">
        <v>97</v>
      </c>
      <c r="AE66" t="s">
        <v>97</v>
      </c>
      <c r="AF66" t="s">
        <v>97</v>
      </c>
      <c r="AI66">
        <f t="shared" si="0"/>
        <v>5</v>
      </c>
      <c r="AJ66">
        <f t="shared" si="1"/>
        <v>4</v>
      </c>
      <c r="AK66">
        <f t="shared" si="2"/>
        <v>9</v>
      </c>
      <c r="AN66" t="str">
        <f>HLOOKUP(Input!$B$3,MCA_5!$E$2:$AF$76,65)</f>
        <v>DERC</v>
      </c>
    </row>
    <row r="67" spans="1:40" x14ac:dyDescent="0.25">
      <c r="A67" s="26">
        <v>55</v>
      </c>
      <c r="B67" s="28" t="s">
        <v>222</v>
      </c>
      <c r="C67" s="28" t="s">
        <v>210</v>
      </c>
      <c r="D67" s="28" t="s">
        <v>223</v>
      </c>
      <c r="E67" s="28" t="s">
        <v>97</v>
      </c>
      <c r="F67" s="28" t="s">
        <v>97</v>
      </c>
      <c r="G67" s="28" t="s">
        <v>97</v>
      </c>
      <c r="H67" s="28" t="s">
        <v>97</v>
      </c>
      <c r="I67" s="28" t="s">
        <v>97</v>
      </c>
      <c r="J67" s="28" t="s">
        <v>97</v>
      </c>
      <c r="K67" s="28" t="s">
        <v>97</v>
      </c>
      <c r="L67" s="29" t="s">
        <v>97</v>
      </c>
      <c r="M67" s="28" t="s">
        <v>97</v>
      </c>
      <c r="N67" s="28" t="s">
        <v>79</v>
      </c>
      <c r="O67" s="28" t="s">
        <v>79</v>
      </c>
      <c r="P67" s="28" t="s">
        <v>97</v>
      </c>
      <c r="Q67" s="28" t="s">
        <v>97</v>
      </c>
      <c r="R67" s="29" t="s">
        <v>97</v>
      </c>
      <c r="S67" s="28" t="s">
        <v>97</v>
      </c>
      <c r="T67" s="29" t="s">
        <v>97</v>
      </c>
      <c r="U67" s="29" t="s">
        <v>97</v>
      </c>
      <c r="V67" s="29" t="s">
        <v>97</v>
      </c>
      <c r="W67" s="29" t="s">
        <v>97</v>
      </c>
      <c r="X67" s="28" t="s">
        <v>79</v>
      </c>
      <c r="Y67" s="29" t="s">
        <v>97</v>
      </c>
      <c r="Z67" s="28" t="s">
        <v>79</v>
      </c>
      <c r="AA67" s="28" t="s">
        <v>97</v>
      </c>
      <c r="AB67" s="28" t="s">
        <v>97</v>
      </c>
      <c r="AC67" s="28" t="s">
        <v>97</v>
      </c>
      <c r="AD67" s="28" t="s">
        <v>79</v>
      </c>
      <c r="AE67" s="28" t="s">
        <v>79</v>
      </c>
      <c r="AF67" s="28" t="s">
        <v>97</v>
      </c>
      <c r="AG67" s="28"/>
      <c r="AH67" s="35"/>
      <c r="AI67" s="28">
        <f t="shared" si="0"/>
        <v>6</v>
      </c>
      <c r="AJ67" s="28">
        <f t="shared" si="1"/>
        <v>0</v>
      </c>
      <c r="AK67" s="28">
        <f t="shared" si="2"/>
        <v>6</v>
      </c>
      <c r="AN67" t="str">
        <f>HLOOKUP(Input!$B$3,MCA_5!$E$2:$AF$76,66)</f>
        <v>NA</v>
      </c>
    </row>
    <row r="68" spans="1:40" x14ac:dyDescent="0.25">
      <c r="A68" s="18">
        <v>56</v>
      </c>
      <c r="B68" t="s">
        <v>224</v>
      </c>
      <c r="C68" t="s">
        <v>225</v>
      </c>
      <c r="D68" t="s">
        <v>226</v>
      </c>
      <c r="E68" t="s">
        <v>79</v>
      </c>
      <c r="F68" t="s">
        <v>79</v>
      </c>
      <c r="G68" t="s">
        <v>79</v>
      </c>
      <c r="H68" t="s">
        <v>79</v>
      </c>
      <c r="I68" s="32" t="s">
        <v>97</v>
      </c>
      <c r="J68" t="s">
        <v>79</v>
      </c>
      <c r="K68" s="32" t="s">
        <v>97</v>
      </c>
      <c r="L68" s="23" t="s">
        <v>97</v>
      </c>
      <c r="M68" s="32" t="s">
        <v>97</v>
      </c>
      <c r="N68" t="s">
        <v>79</v>
      </c>
      <c r="O68" t="s">
        <v>79</v>
      </c>
      <c r="P68" s="32" t="s">
        <v>97</v>
      </c>
      <c r="Q68" t="s">
        <v>79</v>
      </c>
      <c r="R68" s="23" t="s">
        <v>97</v>
      </c>
      <c r="S68" t="s">
        <v>79</v>
      </c>
      <c r="T68" s="23" t="s">
        <v>97</v>
      </c>
      <c r="U68" s="23" t="s">
        <v>97</v>
      </c>
      <c r="V68" s="23" t="s">
        <v>97</v>
      </c>
      <c r="W68" s="23" t="s">
        <v>97</v>
      </c>
      <c r="X68" t="s">
        <v>79</v>
      </c>
      <c r="Y68" s="23" t="s">
        <v>97</v>
      </c>
      <c r="Z68" t="s">
        <v>79</v>
      </c>
      <c r="AA68" t="s">
        <v>79</v>
      </c>
      <c r="AB68" t="s">
        <v>79</v>
      </c>
      <c r="AC68" t="s">
        <v>79</v>
      </c>
      <c r="AD68" t="s">
        <v>79</v>
      </c>
      <c r="AE68" t="s">
        <v>79</v>
      </c>
      <c r="AF68" s="32" t="s">
        <v>97</v>
      </c>
      <c r="AH68" s="33">
        <v>2</v>
      </c>
      <c r="AI68" s="34">
        <f t="shared" ref="AI68:AI76" si="3">COUNTIF(E68:AF68,$AI$2)</f>
        <v>16</v>
      </c>
      <c r="AJ68">
        <f t="shared" ref="AJ68:AJ76" si="4">COUNTIF(F68:AH68,$AJ$2)</f>
        <v>0</v>
      </c>
      <c r="AK68">
        <f t="shared" ref="AK68:AK76" si="5">+AI68+AJ68</f>
        <v>16</v>
      </c>
      <c r="AN68" t="str">
        <f>HLOOKUP(Input!$B$3,MCA_5!$E$2:$AF$76,67)</f>
        <v>DERC</v>
      </c>
    </row>
    <row r="69" spans="1:40" x14ac:dyDescent="0.25">
      <c r="A69" s="18">
        <v>57</v>
      </c>
      <c r="B69" t="s">
        <v>227</v>
      </c>
      <c r="C69" t="s">
        <v>225</v>
      </c>
      <c r="D69" t="s">
        <v>228</v>
      </c>
      <c r="E69" t="s">
        <v>79</v>
      </c>
      <c r="F69" t="s">
        <v>79</v>
      </c>
      <c r="G69" t="s">
        <v>79</v>
      </c>
      <c r="H69" t="s">
        <v>79</v>
      </c>
      <c r="I69" s="32" t="s">
        <v>97</v>
      </c>
      <c r="J69" t="s">
        <v>79</v>
      </c>
      <c r="K69" s="32" t="s">
        <v>97</v>
      </c>
      <c r="L69" s="23" t="s">
        <v>97</v>
      </c>
      <c r="M69" s="32" t="s">
        <v>97</v>
      </c>
      <c r="N69" t="s">
        <v>79</v>
      </c>
      <c r="O69" t="s">
        <v>79</v>
      </c>
      <c r="P69" t="s">
        <v>80</v>
      </c>
      <c r="Q69" t="s">
        <v>79</v>
      </c>
      <c r="R69" s="23" t="s">
        <v>97</v>
      </c>
      <c r="S69" t="s">
        <v>79</v>
      </c>
      <c r="T69" s="23" t="s">
        <v>97</v>
      </c>
      <c r="U69" s="23" t="s">
        <v>97</v>
      </c>
      <c r="V69" s="23" t="s">
        <v>97</v>
      </c>
      <c r="W69" s="23" t="s">
        <v>97</v>
      </c>
      <c r="X69" t="s">
        <v>79</v>
      </c>
      <c r="Y69" s="23" t="s">
        <v>97</v>
      </c>
      <c r="Z69" t="s">
        <v>79</v>
      </c>
      <c r="AA69" t="s">
        <v>79</v>
      </c>
      <c r="AB69" t="s">
        <v>79</v>
      </c>
      <c r="AC69" t="s">
        <v>79</v>
      </c>
      <c r="AD69" t="s">
        <v>79</v>
      </c>
      <c r="AE69" t="s">
        <v>79</v>
      </c>
      <c r="AF69" s="32" t="s">
        <v>97</v>
      </c>
      <c r="AH69" s="33">
        <v>3</v>
      </c>
      <c r="AI69" s="34">
        <f t="shared" si="3"/>
        <v>16</v>
      </c>
      <c r="AJ69">
        <f t="shared" si="4"/>
        <v>1</v>
      </c>
      <c r="AK69">
        <f t="shared" si="5"/>
        <v>17</v>
      </c>
      <c r="AN69" t="str">
        <f>HLOOKUP(Input!$B$3,MCA_5!$E$2:$AF$76,68)</f>
        <v>DERC</v>
      </c>
    </row>
    <row r="70" spans="1:40" x14ac:dyDescent="0.25">
      <c r="A70" s="18">
        <v>58</v>
      </c>
      <c r="B70" t="s">
        <v>229</v>
      </c>
      <c r="C70" t="s">
        <v>225</v>
      </c>
      <c r="D70" t="s">
        <v>230</v>
      </c>
      <c r="E70" t="s">
        <v>97</v>
      </c>
      <c r="F70" t="s">
        <v>97</v>
      </c>
      <c r="G70" t="s">
        <v>97</v>
      </c>
      <c r="H70" t="s">
        <v>97</v>
      </c>
      <c r="I70" s="32" t="s">
        <v>97</v>
      </c>
      <c r="J70" s="32" t="s">
        <v>97</v>
      </c>
      <c r="K70" s="32" t="s">
        <v>97</v>
      </c>
      <c r="L70" s="23" t="s">
        <v>97</v>
      </c>
      <c r="M70" s="32" t="s">
        <v>97</v>
      </c>
      <c r="N70" t="s">
        <v>79</v>
      </c>
      <c r="O70" t="s">
        <v>79</v>
      </c>
      <c r="P70" t="s">
        <v>97</v>
      </c>
      <c r="Q70" t="s">
        <v>97</v>
      </c>
      <c r="R70" s="23" t="s">
        <v>97</v>
      </c>
      <c r="S70" t="s">
        <v>97</v>
      </c>
      <c r="T70" s="23" t="s">
        <v>97</v>
      </c>
      <c r="U70" s="23" t="s">
        <v>97</v>
      </c>
      <c r="V70" s="23" t="s">
        <v>97</v>
      </c>
      <c r="W70" s="23" t="s">
        <v>97</v>
      </c>
      <c r="X70" t="s">
        <v>79</v>
      </c>
      <c r="Y70" s="23" t="s">
        <v>97</v>
      </c>
      <c r="Z70" t="s">
        <v>80</v>
      </c>
      <c r="AA70" t="s">
        <v>97</v>
      </c>
      <c r="AB70" t="s">
        <v>97</v>
      </c>
      <c r="AC70" t="s">
        <v>97</v>
      </c>
      <c r="AD70" t="s">
        <v>79</v>
      </c>
      <c r="AE70" t="s">
        <v>79</v>
      </c>
      <c r="AF70" s="32" t="s">
        <v>97</v>
      </c>
      <c r="AI70">
        <f t="shared" si="3"/>
        <v>5</v>
      </c>
      <c r="AJ70">
        <f t="shared" si="4"/>
        <v>1</v>
      </c>
      <c r="AK70">
        <f t="shared" si="5"/>
        <v>6</v>
      </c>
      <c r="AN70" t="str">
        <f>HLOOKUP(Input!$B$3,MCA_5!$E$2:$AF$76,69)</f>
        <v>NA</v>
      </c>
    </row>
    <row r="71" spans="1:40" x14ac:dyDescent="0.25">
      <c r="A71" s="18">
        <v>59</v>
      </c>
      <c r="B71" t="s">
        <v>231</v>
      </c>
      <c r="C71" t="s">
        <v>225</v>
      </c>
      <c r="D71" t="s">
        <v>232</v>
      </c>
      <c r="E71" t="s">
        <v>80</v>
      </c>
      <c r="F71" t="s">
        <v>97</v>
      </c>
      <c r="G71" t="s">
        <v>80</v>
      </c>
      <c r="H71" t="s">
        <v>80</v>
      </c>
      <c r="I71" s="32" t="s">
        <v>97</v>
      </c>
      <c r="J71" s="32" t="s">
        <v>97</v>
      </c>
      <c r="K71" s="32" t="s">
        <v>97</v>
      </c>
      <c r="L71" s="23" t="s">
        <v>97</v>
      </c>
      <c r="M71" s="32" t="s">
        <v>97</v>
      </c>
      <c r="N71" s="32" t="s">
        <v>97</v>
      </c>
      <c r="O71" t="s">
        <v>80</v>
      </c>
      <c r="P71" t="s">
        <v>97</v>
      </c>
      <c r="Q71" t="s">
        <v>80</v>
      </c>
      <c r="R71" s="23" t="s">
        <v>97</v>
      </c>
      <c r="S71" t="s">
        <v>97</v>
      </c>
      <c r="T71" s="23" t="s">
        <v>97</v>
      </c>
      <c r="U71" s="23" t="s">
        <v>97</v>
      </c>
      <c r="V71" s="23" t="s">
        <v>97</v>
      </c>
      <c r="W71" s="23" t="s">
        <v>97</v>
      </c>
      <c r="X71" t="s">
        <v>79</v>
      </c>
      <c r="Y71" s="23" t="s">
        <v>97</v>
      </c>
      <c r="Z71" t="s">
        <v>97</v>
      </c>
      <c r="AA71" t="s">
        <v>80</v>
      </c>
      <c r="AB71" t="s">
        <v>97</v>
      </c>
      <c r="AC71" t="s">
        <v>97</v>
      </c>
      <c r="AD71" t="s">
        <v>79</v>
      </c>
      <c r="AE71" t="s">
        <v>80</v>
      </c>
      <c r="AF71" s="32" t="s">
        <v>97</v>
      </c>
      <c r="AI71">
        <f t="shared" si="3"/>
        <v>2</v>
      </c>
      <c r="AJ71">
        <f t="shared" si="4"/>
        <v>6</v>
      </c>
      <c r="AK71">
        <f t="shared" si="5"/>
        <v>8</v>
      </c>
      <c r="AN71" t="str">
        <f>HLOOKUP(Input!$B$3,MCA_5!$E$2:$AF$76,70)</f>
        <v>ENEC</v>
      </c>
    </row>
    <row r="72" spans="1:40" x14ac:dyDescent="0.25">
      <c r="A72" s="18">
        <v>60</v>
      </c>
      <c r="B72" t="s">
        <v>233</v>
      </c>
      <c r="C72" t="s">
        <v>225</v>
      </c>
      <c r="D72" t="s">
        <v>234</v>
      </c>
      <c r="E72" t="s">
        <v>79</v>
      </c>
      <c r="F72" t="s">
        <v>79</v>
      </c>
      <c r="G72" t="s">
        <v>79</v>
      </c>
      <c r="H72" t="s">
        <v>79</v>
      </c>
      <c r="I72" s="32" t="s">
        <v>97</v>
      </c>
      <c r="J72" t="s">
        <v>79</v>
      </c>
      <c r="K72" s="32" t="s">
        <v>97</v>
      </c>
      <c r="L72" s="23" t="s">
        <v>97</v>
      </c>
      <c r="M72" s="32" t="s">
        <v>97</v>
      </c>
      <c r="N72" t="s">
        <v>79</v>
      </c>
      <c r="O72" t="s">
        <v>79</v>
      </c>
      <c r="P72" t="s">
        <v>97</v>
      </c>
      <c r="Q72" t="s">
        <v>79</v>
      </c>
      <c r="R72" s="23" t="s">
        <v>97</v>
      </c>
      <c r="S72" t="s">
        <v>79</v>
      </c>
      <c r="T72" s="23" t="s">
        <v>97</v>
      </c>
      <c r="U72" s="23" t="s">
        <v>97</v>
      </c>
      <c r="V72" s="23" t="s">
        <v>97</v>
      </c>
      <c r="W72" s="23" t="s">
        <v>97</v>
      </c>
      <c r="X72" t="s">
        <v>79</v>
      </c>
      <c r="Y72" s="23" t="s">
        <v>97</v>
      </c>
      <c r="Z72" t="s">
        <v>97</v>
      </c>
      <c r="AA72" t="s">
        <v>79</v>
      </c>
      <c r="AB72" t="s">
        <v>79</v>
      </c>
      <c r="AC72" t="s">
        <v>97</v>
      </c>
      <c r="AD72" t="s">
        <v>79</v>
      </c>
      <c r="AE72" t="s">
        <v>79</v>
      </c>
      <c r="AF72" s="32" t="s">
        <v>97</v>
      </c>
      <c r="AH72" s="33">
        <v>4</v>
      </c>
      <c r="AI72" s="34">
        <f t="shared" si="3"/>
        <v>14</v>
      </c>
      <c r="AJ72">
        <f t="shared" si="4"/>
        <v>0</v>
      </c>
      <c r="AK72">
        <f t="shared" si="5"/>
        <v>14</v>
      </c>
      <c r="AN72" t="str">
        <f>HLOOKUP(Input!$B$3,MCA_5!$E$2:$AF$76,71)</f>
        <v>DERC</v>
      </c>
    </row>
    <row r="73" spans="1:40" x14ac:dyDescent="0.25">
      <c r="A73" s="18">
        <v>61</v>
      </c>
      <c r="B73" t="s">
        <v>235</v>
      </c>
      <c r="C73" t="s">
        <v>225</v>
      </c>
      <c r="D73" t="s">
        <v>236</v>
      </c>
      <c r="E73" t="s">
        <v>80</v>
      </c>
      <c r="F73" t="s">
        <v>97</v>
      </c>
      <c r="G73" t="s">
        <v>80</v>
      </c>
      <c r="H73" t="s">
        <v>80</v>
      </c>
      <c r="I73" s="32" t="s">
        <v>97</v>
      </c>
      <c r="J73" t="s">
        <v>80</v>
      </c>
      <c r="K73" s="32" t="s">
        <v>97</v>
      </c>
      <c r="L73" s="23" t="s">
        <v>97</v>
      </c>
      <c r="M73" s="32" t="s">
        <v>97</v>
      </c>
      <c r="N73" t="s">
        <v>79</v>
      </c>
      <c r="O73" t="s">
        <v>80</v>
      </c>
      <c r="P73" t="s">
        <v>79</v>
      </c>
      <c r="Q73" t="s">
        <v>80</v>
      </c>
      <c r="R73" s="23" t="s">
        <v>97</v>
      </c>
      <c r="S73" t="s">
        <v>79</v>
      </c>
      <c r="T73" s="23" t="s">
        <v>97</v>
      </c>
      <c r="U73" s="23" t="s">
        <v>97</v>
      </c>
      <c r="V73" s="23" t="s">
        <v>97</v>
      </c>
      <c r="W73" s="23" t="s">
        <v>97</v>
      </c>
      <c r="X73" t="s">
        <v>79</v>
      </c>
      <c r="Y73" s="23" t="s">
        <v>97</v>
      </c>
      <c r="Z73" t="s">
        <v>79</v>
      </c>
      <c r="AA73" t="s">
        <v>79</v>
      </c>
      <c r="AB73" t="s">
        <v>80</v>
      </c>
      <c r="AC73" t="s">
        <v>79</v>
      </c>
      <c r="AD73" t="s">
        <v>79</v>
      </c>
      <c r="AE73" t="s">
        <v>79</v>
      </c>
      <c r="AF73" s="32" t="s">
        <v>97</v>
      </c>
      <c r="AI73">
        <f t="shared" si="3"/>
        <v>9</v>
      </c>
      <c r="AJ73">
        <f t="shared" si="4"/>
        <v>6</v>
      </c>
      <c r="AK73">
        <f t="shared" si="5"/>
        <v>15</v>
      </c>
      <c r="AN73" t="str">
        <f>HLOOKUP(Input!$B$3,MCA_5!$E$2:$AF$76,72)</f>
        <v>ENEC</v>
      </c>
    </row>
    <row r="74" spans="1:40" x14ac:dyDescent="0.25">
      <c r="A74" s="18">
        <v>62</v>
      </c>
      <c r="B74" t="s">
        <v>237</v>
      </c>
      <c r="C74" t="s">
        <v>225</v>
      </c>
      <c r="D74" t="s">
        <v>238</v>
      </c>
      <c r="E74" t="s">
        <v>79</v>
      </c>
      <c r="F74" t="s">
        <v>79</v>
      </c>
      <c r="G74" t="s">
        <v>79</v>
      </c>
      <c r="H74" t="s">
        <v>80</v>
      </c>
      <c r="I74" s="32" t="s">
        <v>97</v>
      </c>
      <c r="J74" s="32" t="s">
        <v>97</v>
      </c>
      <c r="K74" t="s">
        <v>79</v>
      </c>
      <c r="L74" s="23" t="s">
        <v>97</v>
      </c>
      <c r="M74" s="32" t="s">
        <v>97</v>
      </c>
      <c r="N74" t="s">
        <v>79</v>
      </c>
      <c r="O74" t="s">
        <v>79</v>
      </c>
      <c r="P74" t="s">
        <v>97</v>
      </c>
      <c r="Q74" t="s">
        <v>80</v>
      </c>
      <c r="R74" s="23" t="s">
        <v>97</v>
      </c>
      <c r="S74" t="s">
        <v>97</v>
      </c>
      <c r="T74" s="23" t="s">
        <v>97</v>
      </c>
      <c r="U74" s="23" t="s">
        <v>97</v>
      </c>
      <c r="V74" s="23" t="s">
        <v>97</v>
      </c>
      <c r="W74" s="23" t="s">
        <v>97</v>
      </c>
      <c r="X74" t="s">
        <v>79</v>
      </c>
      <c r="Y74" s="23" t="s">
        <v>97</v>
      </c>
      <c r="Z74" t="s">
        <v>97</v>
      </c>
      <c r="AA74" t="s">
        <v>80</v>
      </c>
      <c r="AB74" t="s">
        <v>79</v>
      </c>
      <c r="AC74" t="s">
        <v>97</v>
      </c>
      <c r="AD74" t="s">
        <v>97</v>
      </c>
      <c r="AE74" t="s">
        <v>79</v>
      </c>
      <c r="AF74" s="32" t="s">
        <v>97</v>
      </c>
      <c r="AI74">
        <f t="shared" si="3"/>
        <v>9</v>
      </c>
      <c r="AJ74">
        <f t="shared" si="4"/>
        <v>3</v>
      </c>
      <c r="AK74">
        <f t="shared" si="5"/>
        <v>12</v>
      </c>
      <c r="AN74" t="str">
        <f>HLOOKUP(Input!$B$3,MCA_5!$E$2:$AF$76,73)</f>
        <v>ENEC</v>
      </c>
    </row>
    <row r="75" spans="1:40" x14ac:dyDescent="0.25">
      <c r="A75" s="18">
        <v>63</v>
      </c>
      <c r="B75" t="s">
        <v>239</v>
      </c>
      <c r="C75" t="s">
        <v>225</v>
      </c>
      <c r="D75" t="s">
        <v>240</v>
      </c>
      <c r="E75" t="s">
        <v>79</v>
      </c>
      <c r="F75" t="s">
        <v>79</v>
      </c>
      <c r="G75" t="s">
        <v>79</v>
      </c>
      <c r="H75" t="s">
        <v>79</v>
      </c>
      <c r="I75" s="32" t="s">
        <v>97</v>
      </c>
      <c r="J75" s="32" t="s">
        <v>97</v>
      </c>
      <c r="K75" s="32" t="s">
        <v>97</v>
      </c>
      <c r="L75" s="23" t="s">
        <v>97</v>
      </c>
      <c r="M75" s="32" t="s">
        <v>97</v>
      </c>
      <c r="N75" t="s">
        <v>79</v>
      </c>
      <c r="O75" t="s">
        <v>79</v>
      </c>
      <c r="P75" t="s">
        <v>97</v>
      </c>
      <c r="Q75" t="s">
        <v>79</v>
      </c>
      <c r="R75" s="23" t="s">
        <v>97</v>
      </c>
      <c r="S75" t="s">
        <v>97</v>
      </c>
      <c r="T75" s="23" t="s">
        <v>97</v>
      </c>
      <c r="U75" s="23" t="s">
        <v>97</v>
      </c>
      <c r="V75" s="23" t="s">
        <v>97</v>
      </c>
      <c r="W75" s="23" t="s">
        <v>97</v>
      </c>
      <c r="X75" t="s">
        <v>79</v>
      </c>
      <c r="Y75" s="23" t="s">
        <v>97</v>
      </c>
      <c r="Z75" t="s">
        <v>97</v>
      </c>
      <c r="AA75" t="s">
        <v>79</v>
      </c>
      <c r="AB75" t="s">
        <v>79</v>
      </c>
      <c r="AC75" t="s">
        <v>97</v>
      </c>
      <c r="AD75" t="s">
        <v>97</v>
      </c>
      <c r="AE75" t="s">
        <v>79</v>
      </c>
      <c r="AF75" s="32" t="s">
        <v>97</v>
      </c>
      <c r="AI75">
        <f t="shared" si="3"/>
        <v>11</v>
      </c>
      <c r="AJ75">
        <f t="shared" si="4"/>
        <v>0</v>
      </c>
      <c r="AK75">
        <f t="shared" si="5"/>
        <v>11</v>
      </c>
      <c r="AN75" t="str">
        <f>HLOOKUP(Input!$B$3,MCA_5!$E$2:$AF$76,74)</f>
        <v>DERC</v>
      </c>
    </row>
    <row r="76" spans="1:40" x14ac:dyDescent="0.25">
      <c r="A76" s="18">
        <v>64</v>
      </c>
      <c r="B76" t="s">
        <v>241</v>
      </c>
      <c r="C76" t="s">
        <v>225</v>
      </c>
      <c r="D76" t="s">
        <v>242</v>
      </c>
      <c r="E76" t="s">
        <v>97</v>
      </c>
      <c r="F76" t="s">
        <v>80</v>
      </c>
      <c r="G76" t="s">
        <v>97</v>
      </c>
      <c r="H76" t="s">
        <v>97</v>
      </c>
      <c r="I76" s="32" t="s">
        <v>97</v>
      </c>
      <c r="J76" s="32" t="s">
        <v>97</v>
      </c>
      <c r="K76" s="32" t="s">
        <v>97</v>
      </c>
      <c r="L76" s="23" t="s">
        <v>97</v>
      </c>
      <c r="M76" s="32" t="s">
        <v>97</v>
      </c>
      <c r="N76" t="s">
        <v>80</v>
      </c>
      <c r="O76" t="s">
        <v>80</v>
      </c>
      <c r="P76" t="s">
        <v>97</v>
      </c>
      <c r="Q76" t="s">
        <v>97</v>
      </c>
      <c r="R76" s="23" t="s">
        <v>97</v>
      </c>
      <c r="S76" t="s">
        <v>97</v>
      </c>
      <c r="T76" s="23" t="s">
        <v>97</v>
      </c>
      <c r="U76" s="23" t="s">
        <v>97</v>
      </c>
      <c r="V76" s="23" t="s">
        <v>97</v>
      </c>
      <c r="W76" s="23" t="s">
        <v>97</v>
      </c>
      <c r="X76" t="s">
        <v>80</v>
      </c>
      <c r="Y76" s="23" t="s">
        <v>97</v>
      </c>
      <c r="Z76" t="s">
        <v>97</v>
      </c>
      <c r="AA76" t="s">
        <v>97</v>
      </c>
      <c r="AB76" t="s">
        <v>80</v>
      </c>
      <c r="AC76" t="s">
        <v>79</v>
      </c>
      <c r="AD76" t="s">
        <v>97</v>
      </c>
      <c r="AE76" t="s">
        <v>97</v>
      </c>
      <c r="AF76" t="s">
        <v>80</v>
      </c>
      <c r="AI76">
        <f t="shared" si="3"/>
        <v>1</v>
      </c>
      <c r="AJ76">
        <f t="shared" si="4"/>
        <v>6</v>
      </c>
      <c r="AK76">
        <f t="shared" si="5"/>
        <v>7</v>
      </c>
      <c r="AN76" t="str">
        <f>HLOOKUP(Input!$B$3,MCA_5!$E$2:$AF$76,75)</f>
        <v>NA</v>
      </c>
    </row>
    <row r="78" spans="1:40" x14ac:dyDescent="0.25">
      <c r="C78" s="4" t="s">
        <v>243</v>
      </c>
      <c r="D78" s="4" t="s">
        <v>71</v>
      </c>
    </row>
    <row r="79" spans="1:40" x14ac:dyDescent="0.25">
      <c r="C79" s="1">
        <v>1</v>
      </c>
      <c r="D79" t="s">
        <v>79</v>
      </c>
      <c r="E79">
        <f>COUNTIF(E3:E76,$D$79)</f>
        <v>13</v>
      </c>
      <c r="F79">
        <f t="shared" ref="F79:AF79" si="6">COUNTIF(F3:F76,$D$79)</f>
        <v>11</v>
      </c>
      <c r="G79">
        <f t="shared" si="6"/>
        <v>11</v>
      </c>
      <c r="H79">
        <f t="shared" si="6"/>
        <v>10</v>
      </c>
      <c r="I79">
        <f t="shared" si="6"/>
        <v>1</v>
      </c>
      <c r="J79">
        <f t="shared" si="6"/>
        <v>4</v>
      </c>
      <c r="K79">
        <f t="shared" si="6"/>
        <v>1</v>
      </c>
      <c r="L79" s="23">
        <f t="shared" si="6"/>
        <v>0</v>
      </c>
      <c r="M79">
        <f t="shared" si="6"/>
        <v>1</v>
      </c>
      <c r="N79">
        <f t="shared" si="6"/>
        <v>25</v>
      </c>
      <c r="O79">
        <f t="shared" si="6"/>
        <v>25</v>
      </c>
      <c r="P79">
        <f t="shared" si="6"/>
        <v>2</v>
      </c>
      <c r="Q79">
        <f t="shared" si="6"/>
        <v>12</v>
      </c>
      <c r="R79" s="23">
        <f t="shared" si="6"/>
        <v>0</v>
      </c>
      <c r="S79">
        <f t="shared" si="6"/>
        <v>6</v>
      </c>
      <c r="T79" s="23">
        <f t="shared" si="6"/>
        <v>0</v>
      </c>
      <c r="U79" s="23">
        <f t="shared" si="6"/>
        <v>0</v>
      </c>
      <c r="V79" s="23">
        <f t="shared" si="6"/>
        <v>0</v>
      </c>
      <c r="W79" s="23">
        <f t="shared" si="6"/>
        <v>0</v>
      </c>
      <c r="X79">
        <f t="shared" si="6"/>
        <v>27</v>
      </c>
      <c r="Y79" s="23">
        <f t="shared" si="6"/>
        <v>0</v>
      </c>
      <c r="Z79">
        <f t="shared" si="6"/>
        <v>5</v>
      </c>
      <c r="AA79">
        <f t="shared" si="6"/>
        <v>11</v>
      </c>
      <c r="AB79">
        <f t="shared" si="6"/>
        <v>14</v>
      </c>
      <c r="AC79">
        <f t="shared" si="6"/>
        <v>7</v>
      </c>
      <c r="AD79">
        <f t="shared" si="6"/>
        <v>10</v>
      </c>
      <c r="AE79">
        <f t="shared" si="6"/>
        <v>20</v>
      </c>
      <c r="AF79">
        <f t="shared" si="6"/>
        <v>2</v>
      </c>
    </row>
    <row r="80" spans="1:40" x14ac:dyDescent="0.25">
      <c r="C80" s="1">
        <v>0</v>
      </c>
      <c r="D80" t="s">
        <v>80</v>
      </c>
      <c r="E80">
        <f>COUNTIF(E3:E76,$D$80)</f>
        <v>11</v>
      </c>
      <c r="F80">
        <f t="shared" ref="F80:AF80" si="7">COUNTIF(F3:F76,$D$80)</f>
        <v>2</v>
      </c>
      <c r="G80">
        <f t="shared" si="7"/>
        <v>12</v>
      </c>
      <c r="H80">
        <f t="shared" si="7"/>
        <v>13</v>
      </c>
      <c r="I80">
        <f t="shared" si="7"/>
        <v>1</v>
      </c>
      <c r="J80">
        <f t="shared" si="7"/>
        <v>3</v>
      </c>
      <c r="K80">
        <f t="shared" si="7"/>
        <v>1</v>
      </c>
      <c r="L80" s="23">
        <f t="shared" si="7"/>
        <v>0</v>
      </c>
      <c r="M80">
        <f t="shared" si="7"/>
        <v>2</v>
      </c>
      <c r="N80">
        <f t="shared" si="7"/>
        <v>4</v>
      </c>
      <c r="O80">
        <f t="shared" si="7"/>
        <v>4</v>
      </c>
      <c r="P80">
        <f t="shared" si="7"/>
        <v>1</v>
      </c>
      <c r="Q80">
        <f t="shared" si="7"/>
        <v>12</v>
      </c>
      <c r="R80" s="23">
        <f t="shared" si="7"/>
        <v>0</v>
      </c>
      <c r="S80">
        <f t="shared" si="7"/>
        <v>1</v>
      </c>
      <c r="T80" s="23">
        <f t="shared" si="7"/>
        <v>0</v>
      </c>
      <c r="U80" s="23">
        <f t="shared" si="7"/>
        <v>0</v>
      </c>
      <c r="V80" s="23">
        <f t="shared" si="7"/>
        <v>0</v>
      </c>
      <c r="W80" s="23">
        <f t="shared" si="7"/>
        <v>0</v>
      </c>
      <c r="X80">
        <f t="shared" si="7"/>
        <v>3</v>
      </c>
      <c r="Y80" s="23">
        <f t="shared" si="7"/>
        <v>0</v>
      </c>
      <c r="Z80">
        <f t="shared" si="7"/>
        <v>5</v>
      </c>
      <c r="AA80">
        <f t="shared" si="7"/>
        <v>13</v>
      </c>
      <c r="AB80">
        <f t="shared" si="7"/>
        <v>8</v>
      </c>
      <c r="AC80">
        <f t="shared" si="7"/>
        <v>1</v>
      </c>
      <c r="AD80">
        <f t="shared" si="7"/>
        <v>0</v>
      </c>
      <c r="AE80">
        <f t="shared" si="7"/>
        <v>5</v>
      </c>
      <c r="AF80">
        <f t="shared" si="7"/>
        <v>2</v>
      </c>
    </row>
    <row r="81" spans="3:32" x14ac:dyDescent="0.25">
      <c r="C81" s="1">
        <v>0.75</v>
      </c>
      <c r="D81" t="s">
        <v>97</v>
      </c>
      <c r="E81">
        <f>COUNTIF(E3:E76,$D$81)</f>
        <v>9</v>
      </c>
      <c r="F81">
        <f t="shared" ref="F81:AF81" si="8">COUNTIF(F3:F76,$D$81)</f>
        <v>20</v>
      </c>
      <c r="G81">
        <f t="shared" si="8"/>
        <v>10</v>
      </c>
      <c r="H81">
        <f t="shared" si="8"/>
        <v>10</v>
      </c>
      <c r="I81">
        <f t="shared" si="8"/>
        <v>31</v>
      </c>
      <c r="J81">
        <f t="shared" si="8"/>
        <v>26</v>
      </c>
      <c r="K81">
        <f t="shared" si="8"/>
        <v>31</v>
      </c>
      <c r="L81" s="23">
        <f t="shared" si="8"/>
        <v>33</v>
      </c>
      <c r="M81">
        <f t="shared" si="8"/>
        <v>30</v>
      </c>
      <c r="N81">
        <f t="shared" si="8"/>
        <v>4</v>
      </c>
      <c r="O81">
        <f t="shared" si="8"/>
        <v>4</v>
      </c>
      <c r="P81">
        <f t="shared" si="8"/>
        <v>30</v>
      </c>
      <c r="Q81">
        <f t="shared" si="8"/>
        <v>9</v>
      </c>
      <c r="R81" s="23">
        <f t="shared" si="8"/>
        <v>33</v>
      </c>
      <c r="S81">
        <f t="shared" si="8"/>
        <v>26</v>
      </c>
      <c r="T81" s="23">
        <f t="shared" si="8"/>
        <v>33</v>
      </c>
      <c r="U81" s="23">
        <f t="shared" si="8"/>
        <v>33</v>
      </c>
      <c r="V81" s="23">
        <f t="shared" si="8"/>
        <v>33</v>
      </c>
      <c r="W81" s="23">
        <f t="shared" si="8"/>
        <v>33</v>
      </c>
      <c r="X81">
        <f t="shared" si="8"/>
        <v>3</v>
      </c>
      <c r="Y81" s="23">
        <f t="shared" si="8"/>
        <v>33</v>
      </c>
      <c r="Z81">
        <f t="shared" si="8"/>
        <v>23</v>
      </c>
      <c r="AA81">
        <f t="shared" si="8"/>
        <v>9</v>
      </c>
      <c r="AB81">
        <f t="shared" si="8"/>
        <v>11</v>
      </c>
      <c r="AC81">
        <f t="shared" si="8"/>
        <v>25</v>
      </c>
      <c r="AD81">
        <f t="shared" si="8"/>
        <v>23</v>
      </c>
      <c r="AE81">
        <f t="shared" si="8"/>
        <v>8</v>
      </c>
      <c r="AF81">
        <f t="shared" si="8"/>
        <v>29</v>
      </c>
    </row>
    <row r="82" spans="3:32" x14ac:dyDescent="0.25">
      <c r="E82">
        <f>SUM(E79:E81)</f>
        <v>33</v>
      </c>
      <c r="F82">
        <f>SUM(F79:F81)</f>
        <v>33</v>
      </c>
      <c r="G82">
        <f t="shared" ref="G82:AF82" si="9">SUM(G79:G81)</f>
        <v>33</v>
      </c>
      <c r="H82">
        <f t="shared" si="9"/>
        <v>33</v>
      </c>
      <c r="I82">
        <f t="shared" si="9"/>
        <v>33</v>
      </c>
      <c r="J82">
        <f t="shared" si="9"/>
        <v>33</v>
      </c>
      <c r="K82">
        <f t="shared" si="9"/>
        <v>33</v>
      </c>
      <c r="L82" s="23">
        <f t="shared" si="9"/>
        <v>33</v>
      </c>
      <c r="M82">
        <f t="shared" si="9"/>
        <v>33</v>
      </c>
      <c r="N82">
        <f t="shared" si="9"/>
        <v>33</v>
      </c>
      <c r="O82">
        <f t="shared" si="9"/>
        <v>33</v>
      </c>
      <c r="P82">
        <f t="shared" si="9"/>
        <v>33</v>
      </c>
      <c r="Q82">
        <f t="shared" si="9"/>
        <v>33</v>
      </c>
      <c r="R82" s="23">
        <f t="shared" si="9"/>
        <v>33</v>
      </c>
      <c r="S82">
        <f t="shared" si="9"/>
        <v>33</v>
      </c>
      <c r="T82" s="23">
        <f t="shared" si="9"/>
        <v>33</v>
      </c>
      <c r="U82" s="23">
        <f t="shared" si="9"/>
        <v>33</v>
      </c>
      <c r="V82" s="23">
        <f t="shared" si="9"/>
        <v>33</v>
      </c>
      <c r="W82" s="23">
        <f t="shared" si="9"/>
        <v>33</v>
      </c>
      <c r="X82">
        <f t="shared" si="9"/>
        <v>33</v>
      </c>
      <c r="Y82" s="23">
        <f t="shared" si="9"/>
        <v>33</v>
      </c>
      <c r="Z82">
        <f t="shared" si="9"/>
        <v>33</v>
      </c>
      <c r="AA82">
        <f t="shared" si="9"/>
        <v>33</v>
      </c>
      <c r="AB82">
        <f t="shared" si="9"/>
        <v>33</v>
      </c>
      <c r="AC82">
        <f t="shared" si="9"/>
        <v>33</v>
      </c>
      <c r="AD82">
        <f t="shared" si="9"/>
        <v>33</v>
      </c>
      <c r="AE82">
        <f t="shared" si="9"/>
        <v>33</v>
      </c>
      <c r="AF82">
        <f t="shared" si="9"/>
        <v>33</v>
      </c>
    </row>
    <row r="83" spans="3:32" x14ac:dyDescent="0.25">
      <c r="C83" s="4" t="s">
        <v>244</v>
      </c>
      <c r="D83" s="4" t="s">
        <v>245</v>
      </c>
    </row>
    <row r="84" spans="3:32" x14ac:dyDescent="0.25">
      <c r="C84" s="36">
        <f>MIN(E84:AF84)</f>
        <v>17.5</v>
      </c>
      <c r="D84" s="36">
        <f>MAX(E84:AF84)</f>
        <v>29.25</v>
      </c>
      <c r="E84">
        <f t="shared" ref="E84:AF84" si="10">+E79*$C$79+E80*$C$80+E81*$C$81</f>
        <v>19.75</v>
      </c>
      <c r="F84">
        <f t="shared" si="10"/>
        <v>26</v>
      </c>
      <c r="G84">
        <f t="shared" si="10"/>
        <v>18.5</v>
      </c>
      <c r="H84">
        <f t="shared" si="10"/>
        <v>17.5</v>
      </c>
      <c r="I84">
        <f t="shared" si="10"/>
        <v>24.25</v>
      </c>
      <c r="J84">
        <f t="shared" si="10"/>
        <v>23.5</v>
      </c>
      <c r="K84">
        <f t="shared" si="10"/>
        <v>24.25</v>
      </c>
      <c r="L84" s="23">
        <f t="shared" si="10"/>
        <v>24.75</v>
      </c>
      <c r="M84">
        <f t="shared" si="10"/>
        <v>23.5</v>
      </c>
      <c r="N84">
        <f t="shared" si="10"/>
        <v>28</v>
      </c>
      <c r="O84">
        <f t="shared" si="10"/>
        <v>28</v>
      </c>
      <c r="P84">
        <f t="shared" si="10"/>
        <v>24.5</v>
      </c>
      <c r="Q84">
        <f t="shared" si="10"/>
        <v>18.75</v>
      </c>
      <c r="R84" s="23">
        <f t="shared" si="10"/>
        <v>24.75</v>
      </c>
      <c r="S84">
        <f t="shared" si="10"/>
        <v>25.5</v>
      </c>
      <c r="T84" s="23">
        <f t="shared" si="10"/>
        <v>24.75</v>
      </c>
      <c r="U84" s="23">
        <f t="shared" si="10"/>
        <v>24.75</v>
      </c>
      <c r="V84" s="23">
        <f t="shared" si="10"/>
        <v>24.75</v>
      </c>
      <c r="W84" s="23">
        <f t="shared" si="10"/>
        <v>24.75</v>
      </c>
      <c r="X84">
        <f t="shared" si="10"/>
        <v>29.25</v>
      </c>
      <c r="Y84" s="23">
        <f t="shared" si="10"/>
        <v>24.75</v>
      </c>
      <c r="Z84">
        <f t="shared" si="10"/>
        <v>22.25</v>
      </c>
      <c r="AA84">
        <f t="shared" si="10"/>
        <v>17.75</v>
      </c>
      <c r="AB84">
        <f t="shared" si="10"/>
        <v>22.25</v>
      </c>
      <c r="AC84">
        <f t="shared" si="10"/>
        <v>25.75</v>
      </c>
      <c r="AD84">
        <f t="shared" si="10"/>
        <v>27.25</v>
      </c>
      <c r="AE84">
        <f t="shared" si="10"/>
        <v>26</v>
      </c>
      <c r="AF84">
        <f t="shared" si="10"/>
        <v>23.75</v>
      </c>
    </row>
    <row r="85" spans="3:32" x14ac:dyDescent="0.25">
      <c r="C85" s="36"/>
      <c r="D85" s="36"/>
      <c r="E85" s="37"/>
      <c r="F85" s="37"/>
      <c r="G85" s="37"/>
      <c r="H85" s="37"/>
      <c r="I85" s="37"/>
    </row>
  </sheetData>
  <conditionalFormatting sqref="AK42">
    <cfRule type="cellIs" dxfId="30" priority="29" operator="between">
      <formula>1</formula>
      <formula>4</formula>
    </cfRule>
    <cfRule type="cellIs" dxfId="29" priority="30" operator="greaterThan">
      <formula>5</formula>
    </cfRule>
    <cfRule type="cellIs" dxfId="28" priority="31" operator="equal">
      <formula>0</formula>
    </cfRule>
  </conditionalFormatting>
  <conditionalFormatting sqref="AK43:AK76">
    <cfRule type="cellIs" dxfId="27" priority="26" operator="between">
      <formula>1</formula>
      <formula>4</formula>
    </cfRule>
    <cfRule type="cellIs" dxfId="26" priority="27" operator="greaterThan">
      <formula>5</formula>
    </cfRule>
    <cfRule type="cellIs" dxfId="25" priority="28" operator="equal">
      <formula>0</formula>
    </cfRule>
  </conditionalFormatting>
  <conditionalFormatting sqref="AK3:AK41">
    <cfRule type="cellIs" dxfId="24" priority="23" operator="between">
      <formula>1</formula>
      <formula>4</formula>
    </cfRule>
    <cfRule type="cellIs" dxfId="23" priority="24" operator="greaterThan">
      <formula>5</formula>
    </cfRule>
    <cfRule type="cellIs" dxfId="22" priority="25" operator="equal">
      <formula>0</formula>
    </cfRule>
  </conditionalFormatting>
  <conditionalFormatting sqref="E76 G76:K76 M76 P76:Q76 S76 Z76:AA76 AD76:AE76 E3:AG68 E69:X75 Z69:AG75">
    <cfRule type="containsText" dxfId="21" priority="21" operator="containsText" text="ENEC">
      <formula>NOT(ISERROR(SEARCH("ENEC",E3)))</formula>
    </cfRule>
    <cfRule type="containsText" dxfId="20" priority="22" operator="containsText" text="DERC">
      <formula>NOT(ISERROR(SEARCH("DERC",E3)))</formula>
    </cfRule>
  </conditionalFormatting>
  <conditionalFormatting sqref="F76">
    <cfRule type="containsText" dxfId="19" priority="19" operator="containsText" text="ENEC">
      <formula>NOT(ISERROR(SEARCH("ENEC",F76)))</formula>
    </cfRule>
    <cfRule type="containsText" dxfId="18" priority="20" operator="containsText" text="DERC">
      <formula>NOT(ISERROR(SEARCH("DERC",F76)))</formula>
    </cfRule>
  </conditionalFormatting>
  <conditionalFormatting sqref="N76">
    <cfRule type="containsText" dxfId="17" priority="17" operator="containsText" text="ENEC">
      <formula>NOT(ISERROR(SEARCH("ENEC",N76)))</formula>
    </cfRule>
    <cfRule type="containsText" dxfId="16" priority="18" operator="containsText" text="DERC">
      <formula>NOT(ISERROR(SEARCH("DERC",N76)))</formula>
    </cfRule>
  </conditionalFormatting>
  <conditionalFormatting sqref="O76">
    <cfRule type="containsText" dxfId="15" priority="15" operator="containsText" text="ENEC">
      <formula>NOT(ISERROR(SEARCH("ENEC",O76)))</formula>
    </cfRule>
    <cfRule type="containsText" dxfId="14" priority="16" operator="containsText" text="DERC">
      <formula>NOT(ISERROR(SEARCH("DERC",O76)))</formula>
    </cfRule>
  </conditionalFormatting>
  <conditionalFormatting sqref="X76">
    <cfRule type="containsText" dxfId="13" priority="13" operator="containsText" text="ENEC">
      <formula>NOT(ISERROR(SEARCH("ENEC",X76)))</formula>
    </cfRule>
    <cfRule type="containsText" dxfId="12" priority="14" operator="containsText" text="DERC">
      <formula>NOT(ISERROR(SEARCH("DERC",X76)))</formula>
    </cfRule>
  </conditionalFormatting>
  <conditionalFormatting sqref="AB76">
    <cfRule type="containsText" dxfId="11" priority="11" operator="containsText" text="ENEC">
      <formula>NOT(ISERROR(SEARCH("ENEC",AB76)))</formula>
    </cfRule>
    <cfRule type="containsText" dxfId="10" priority="12" operator="containsText" text="DERC">
      <formula>NOT(ISERROR(SEARCH("DERC",AB76)))</formula>
    </cfRule>
  </conditionalFormatting>
  <conditionalFormatting sqref="AF76:AG76">
    <cfRule type="containsText" dxfId="9" priority="9" operator="containsText" text="ENEC">
      <formula>NOT(ISERROR(SEARCH("ENEC",AF76)))</formula>
    </cfRule>
    <cfRule type="containsText" dxfId="8" priority="10" operator="containsText" text="DERC">
      <formula>NOT(ISERROR(SEARCH("DERC",AF76)))</formula>
    </cfRule>
  </conditionalFormatting>
  <conditionalFormatting sqref="AC76">
    <cfRule type="containsText" dxfId="7" priority="7" operator="containsText" text="ENEC">
      <formula>NOT(ISERROR(SEARCH("ENEC",AC76)))</formula>
    </cfRule>
    <cfRule type="containsText" dxfId="6" priority="8" operator="containsText" text="DERC">
      <formula>NOT(ISERROR(SEARCH("DERC",AC76)))</formula>
    </cfRule>
  </conditionalFormatting>
  <conditionalFormatting sqref="T76:W76">
    <cfRule type="containsText" dxfId="5" priority="5" operator="containsText" text="ENEC">
      <formula>NOT(ISERROR(SEARCH("ENEC",T76)))</formula>
    </cfRule>
    <cfRule type="containsText" dxfId="4" priority="6" operator="containsText" text="DERC">
      <formula>NOT(ISERROR(SEARCH("DERC",T76)))</formula>
    </cfRule>
  </conditionalFormatting>
  <conditionalFormatting sqref="Y69:Y75">
    <cfRule type="containsText" dxfId="3" priority="3" operator="containsText" text="ENEC">
      <formula>NOT(ISERROR(SEARCH("ENEC",Y69)))</formula>
    </cfRule>
    <cfRule type="containsText" dxfId="2" priority="4" operator="containsText" text="DERC">
      <formula>NOT(ISERROR(SEARCH("DERC",Y69)))</formula>
    </cfRule>
  </conditionalFormatting>
  <conditionalFormatting sqref="Y76">
    <cfRule type="containsText" dxfId="1" priority="1" operator="containsText" text="ENEC">
      <formula>NOT(ISERROR(SEARCH("ENEC",Y76)))</formula>
    </cfRule>
    <cfRule type="containsText" dxfId="0" priority="2" operator="containsText" text="DERC">
      <formula>NOT(ISERROR(SEARCH("DERC",Y76)))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"/>
  <sheetViews>
    <sheetView workbookViewId="0">
      <selection activeCell="D11" sqref="D11"/>
    </sheetView>
  </sheetViews>
  <sheetFormatPr baseColWidth="10" defaultRowHeight="15" x14ac:dyDescent="0.25"/>
  <cols>
    <col min="1" max="1" width="47.85546875" customWidth="1"/>
  </cols>
  <sheetData>
    <row r="1" spans="1:6" x14ac:dyDescent="0.25">
      <c r="A1" s="48" t="s">
        <v>288</v>
      </c>
      <c r="B1" s="49" t="s">
        <v>307</v>
      </c>
      <c r="C1" s="49"/>
      <c r="D1" s="49"/>
      <c r="E1" s="49"/>
      <c r="F1" s="50"/>
    </row>
    <row r="2" spans="1:6" x14ac:dyDescent="0.25">
      <c r="A2" s="51" t="s">
        <v>10</v>
      </c>
      <c r="B2" s="52" t="s">
        <v>14</v>
      </c>
      <c r="C2" s="52"/>
      <c r="D2" s="52"/>
      <c r="E2" s="52"/>
      <c r="F2" s="53"/>
    </row>
    <row r="3" spans="1:6" x14ac:dyDescent="0.25">
      <c r="A3" s="51" t="s">
        <v>298</v>
      </c>
      <c r="B3" s="52" t="s">
        <v>305</v>
      </c>
      <c r="C3" s="52"/>
      <c r="D3" s="52"/>
      <c r="E3" s="52"/>
      <c r="F3" s="53"/>
    </row>
    <row r="4" spans="1:6" x14ac:dyDescent="0.25">
      <c r="A4" s="51" t="s">
        <v>299</v>
      </c>
      <c r="B4" s="32">
        <v>58</v>
      </c>
      <c r="C4" s="52"/>
      <c r="D4" s="52"/>
      <c r="E4" s="52"/>
      <c r="F4" s="53"/>
    </row>
    <row r="5" spans="1:6" x14ac:dyDescent="0.25">
      <c r="A5" s="51" t="s">
        <v>289</v>
      </c>
      <c r="B5" s="32">
        <v>9115909.9522476923</v>
      </c>
      <c r="C5" s="52"/>
      <c r="D5" s="52"/>
      <c r="E5" s="52"/>
      <c r="F5" s="53"/>
    </row>
    <row r="6" spans="1:6" x14ac:dyDescent="0.25">
      <c r="A6" s="51" t="s">
        <v>290</v>
      </c>
      <c r="B6" s="32">
        <v>1014586.4925810152</v>
      </c>
      <c r="C6" s="52"/>
      <c r="D6" s="52"/>
      <c r="E6" s="52"/>
      <c r="F6" s="53"/>
    </row>
    <row r="7" spans="1:6" x14ac:dyDescent="0.25">
      <c r="A7" s="51" t="s">
        <v>291</v>
      </c>
      <c r="B7" s="32">
        <v>1.1660927741752705</v>
      </c>
      <c r="C7" s="32"/>
      <c r="D7" s="52"/>
      <c r="E7" s="52"/>
      <c r="F7" s="53"/>
    </row>
    <row r="8" spans="1:6" x14ac:dyDescent="0.25">
      <c r="A8" s="51" t="s">
        <v>292</v>
      </c>
      <c r="B8" s="32">
        <v>246.13749999999999</v>
      </c>
      <c r="C8" s="52"/>
      <c r="D8" s="52"/>
      <c r="E8" s="52"/>
      <c r="F8" s="53"/>
    </row>
    <row r="9" spans="1:6" x14ac:dyDescent="0.25">
      <c r="A9" s="51" t="s">
        <v>293</v>
      </c>
      <c r="B9" s="32">
        <v>8.48E-2</v>
      </c>
      <c r="C9" s="52"/>
      <c r="D9" s="52"/>
      <c r="E9" s="52"/>
      <c r="F9" s="53"/>
    </row>
    <row r="10" spans="1:6" x14ac:dyDescent="0.25">
      <c r="A10" s="51" t="s">
        <v>294</v>
      </c>
      <c r="B10" s="32">
        <v>182842.74960000004</v>
      </c>
      <c r="C10" s="52"/>
      <c r="D10" s="52"/>
      <c r="E10" s="52"/>
      <c r="F10" s="53"/>
    </row>
    <row r="11" spans="1:6" x14ac:dyDescent="0.25">
      <c r="A11" s="51" t="s">
        <v>295</v>
      </c>
      <c r="B11" s="32">
        <v>0.6</v>
      </c>
      <c r="C11" s="52"/>
      <c r="D11" s="52"/>
      <c r="E11" s="52"/>
      <c r="F11" s="53"/>
    </row>
    <row r="12" spans="1:6" x14ac:dyDescent="0.25">
      <c r="A12" s="51" t="s">
        <v>296</v>
      </c>
      <c r="B12" s="32">
        <v>48</v>
      </c>
      <c r="C12" s="52"/>
      <c r="D12" s="52"/>
      <c r="E12" s="52"/>
      <c r="F12" s="53"/>
    </row>
    <row r="13" spans="1:6" ht="15.75" thickBot="1" x14ac:dyDescent="0.3">
      <c r="A13" s="54" t="s">
        <v>297</v>
      </c>
      <c r="B13" s="55">
        <v>1619.7586206896551</v>
      </c>
      <c r="C13" s="55"/>
      <c r="D13" s="55"/>
      <c r="E13" s="55"/>
      <c r="F13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Input</vt:lpstr>
      <vt:lpstr>Screening</vt:lpstr>
      <vt:lpstr>Database</vt:lpstr>
      <vt:lpstr>MCA</vt:lpstr>
      <vt:lpstr>MCA_1</vt:lpstr>
      <vt:lpstr>MCA_4</vt:lpstr>
      <vt:lpstr>MCA_5</vt:lpstr>
      <vt:lpstr>Sum report</vt:lpstr>
      <vt:lpstr>countries</vt:lpstr>
      <vt:lpstr>factors</vt:lpstr>
      <vt:lpstr>sludge</vt:lpstr>
      <vt:lpstr>tech</vt:lpstr>
      <vt:lpstr>technology</vt:lpstr>
      <vt:lpstr>water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Bellagamba</dc:creator>
  <cp:lastModifiedBy>Jorge Bellagamba</cp:lastModifiedBy>
  <dcterms:created xsi:type="dcterms:W3CDTF">2018-11-15T14:25:49Z</dcterms:created>
  <dcterms:modified xsi:type="dcterms:W3CDTF">2019-04-27T10:34:23Z</dcterms:modified>
</cp:coreProperties>
</file>